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635" windowHeight="8655" activeTab="0"/>
  </bookViews>
  <sheets>
    <sheet name="8-1" sheetId="1" r:id="rId1"/>
    <sheet name="8-2" sheetId="2" r:id="rId2"/>
    <sheet name="8-3" sheetId="3" r:id="rId3"/>
    <sheet name="8-4" sheetId="4" r:id="rId4"/>
    <sheet name="8-5" sheetId="5" r:id="rId5"/>
    <sheet name="8-6" sheetId="6" r:id="rId6"/>
    <sheet name="8-7" sheetId="7" r:id="rId7"/>
    <sheet name="8-8" sheetId="8" r:id="rId8"/>
  </sheets>
  <definedNames>
    <definedName name="_xlnm.Print_Area" localSheetId="0">'8-1'!$A$1:$M$54</definedName>
    <definedName name="_xlnm.Print_Area" localSheetId="1">'8-2'!$A$1:$Y$57</definedName>
    <definedName name="_xlnm.Print_Area" localSheetId="2">'8-3'!$A$1:$W$56</definedName>
    <definedName name="_xlnm.Print_Area" localSheetId="3">'8-4'!$A$1:$AA$54</definedName>
    <definedName name="_xlnm.Print_Area" localSheetId="4">'8-5'!$A$1:$Y$54</definedName>
    <definedName name="_xlnm.Print_Area" localSheetId="5">'8-6'!$A$1:$AI$55</definedName>
    <definedName name="_xlnm.Print_Area" localSheetId="6">'8-7'!$A$1:$AA$55</definedName>
    <definedName name="_xlnm.Print_Area" localSheetId="7">'8-8'!$A$1:$S$55</definedName>
  </definedNames>
  <calcPr fullCalcOnLoad="1"/>
</workbook>
</file>

<file path=xl/sharedStrings.xml><?xml version="1.0" encoding="utf-8"?>
<sst xmlns="http://schemas.openxmlformats.org/spreadsheetml/2006/main" count="1094" uniqueCount="224">
  <si>
    <t>１表（８－１）</t>
  </si>
  <si>
    <t>都道府県</t>
  </si>
  <si>
    <t>順位</t>
  </si>
  <si>
    <t>人口千対</t>
  </si>
  <si>
    <t>第１表　都道府県別諸指標にみる大分県の位置</t>
  </si>
  <si>
    <t>合計特殊</t>
  </si>
  <si>
    <t>(再)乳児死亡率</t>
  </si>
  <si>
    <t>(再)新生児死亡率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</si>
  <si>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</si>
  <si>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</si>
  <si>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</si>
  <si>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</si>
  <si>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</si>
  <si>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</si>
  <si>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</si>
  <si>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</si>
  <si>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</si>
  <si>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</si>
  <si>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</si>
  <si>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</si>
  <si>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</si>
  <si>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</si>
  <si>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</si>
  <si>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</si>
  <si>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</si>
  <si>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</si>
  <si>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</si>
  <si>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</si>
  <si>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</si>
  <si>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</si>
  <si>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</si>
  <si>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</si>
  <si>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</si>
  <si>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</si>
  <si>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</si>
  <si>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</si>
  <si>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</si>
  <si>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</si>
  <si>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</si>
  <si>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</si>
  <si>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</si>
  <si>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</si>
  <si>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</si>
  <si>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</si>
  <si>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</si>
  <si>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</si>
  <si>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</si>
  <si>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</si>
  <si>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</si>
  <si>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</si>
  <si>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</si>
  <si>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</si>
  <si>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</si>
  <si>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</si>
  <si>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</si>
  <si>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指　　標</t>
  </si>
  <si>
    <t>１表（８－２）</t>
  </si>
  <si>
    <t>出産千対</t>
  </si>
  <si>
    <t>自然死産率</t>
  </si>
  <si>
    <t>人工死産率</t>
  </si>
  <si>
    <t>出 生 率</t>
  </si>
  <si>
    <t>人工妊娠中絶率</t>
  </si>
  <si>
    <t>15～49歳女
子人口千対</t>
  </si>
  <si>
    <t>周産期死亡率</t>
  </si>
  <si>
    <t>早期新生児
死　亡　率</t>
  </si>
  <si>
    <t>出生千対</t>
  </si>
  <si>
    <t>婚姻率</t>
  </si>
  <si>
    <t>平均初婚年齢</t>
  </si>
  <si>
    <t>夫</t>
  </si>
  <si>
    <t>妻</t>
  </si>
  <si>
    <t>歳</t>
  </si>
  <si>
    <t>全</t>
  </si>
  <si>
    <t>北</t>
  </si>
  <si>
    <t>青</t>
  </si>
  <si>
    <t>岩</t>
  </si>
  <si>
    <t>宮</t>
  </si>
  <si>
    <t>秋</t>
  </si>
  <si>
    <t>山</t>
  </si>
  <si>
    <t>福</t>
  </si>
  <si>
    <t>茨</t>
  </si>
  <si>
    <t>栃</t>
  </si>
  <si>
    <t>群</t>
  </si>
  <si>
    <t>埼</t>
  </si>
  <si>
    <t>千</t>
  </si>
  <si>
    <t>東</t>
  </si>
  <si>
    <t>神</t>
  </si>
  <si>
    <t>新</t>
  </si>
  <si>
    <t>富</t>
  </si>
  <si>
    <t>石</t>
  </si>
  <si>
    <t>長</t>
  </si>
  <si>
    <t>岐</t>
  </si>
  <si>
    <t>静</t>
  </si>
  <si>
    <t>愛</t>
  </si>
  <si>
    <t>三</t>
  </si>
  <si>
    <t>滋</t>
  </si>
  <si>
    <t>京</t>
  </si>
  <si>
    <t>大</t>
  </si>
  <si>
    <t>兵</t>
  </si>
  <si>
    <t>奈</t>
  </si>
  <si>
    <t>和</t>
  </si>
  <si>
    <t>鳥</t>
  </si>
  <si>
    <t>島</t>
  </si>
  <si>
    <t>岡</t>
  </si>
  <si>
    <t>広</t>
  </si>
  <si>
    <t>徳</t>
  </si>
  <si>
    <t>香</t>
  </si>
  <si>
    <t>高</t>
  </si>
  <si>
    <t>佐</t>
  </si>
  <si>
    <t>熊</t>
  </si>
  <si>
    <t>鹿</t>
  </si>
  <si>
    <t>沖</t>
  </si>
  <si>
    <t>離婚率</t>
  </si>
  <si>
    <t>人口千対</t>
  </si>
  <si>
    <t>注）</t>
  </si>
  <si>
    <t>１表（８－３）</t>
  </si>
  <si>
    <t>悪性新生物
死　亡　率</t>
  </si>
  <si>
    <t>人口10万対</t>
  </si>
  <si>
    <t>（再）胃の悪性
　　　新 生 物</t>
  </si>
  <si>
    <t>（再）肝及び肝内胆
　　　管悪性新生物</t>
  </si>
  <si>
    <t>（再）膵の悪性
　　　新 生 物</t>
  </si>
  <si>
    <t>（再）気管・気管
　　　支及び肺の
　　　悪性新生物</t>
  </si>
  <si>
    <t>（再）乳房の悪性
      新  生  物</t>
  </si>
  <si>
    <t>（再）子宮の悪性
　　　新　生　物</t>
  </si>
  <si>
    <t>脳血管疾患
死　亡　率</t>
  </si>
  <si>
    <t>注：</t>
  </si>
  <si>
    <t>１表（８－４）</t>
  </si>
  <si>
    <t>心疾患死亡率</t>
  </si>
  <si>
    <t>結核死亡率</t>
  </si>
  <si>
    <t>糖尿病死亡率</t>
  </si>
  <si>
    <t>肺炎死亡率</t>
  </si>
  <si>
    <t>慢性閉塞性
肺疾患死亡率</t>
  </si>
  <si>
    <t>腎不全死亡率</t>
  </si>
  <si>
    <t>老衰死亡率</t>
  </si>
  <si>
    <t>不慮の事故
死 亡 率</t>
  </si>
  <si>
    <t>（再）交通事故
　　  死 亡 率</t>
  </si>
  <si>
    <t>自殺死亡率</t>
  </si>
  <si>
    <t>１表（８－５）</t>
  </si>
  <si>
    <t>病　院　数</t>
  </si>
  <si>
    <t>（再）精神病院数</t>
  </si>
  <si>
    <t>(再)一般病院数</t>
  </si>
  <si>
    <t>一般診療所数</t>
  </si>
  <si>
    <t>歯科診療所数</t>
  </si>
  <si>
    <t>病院病床数</t>
  </si>
  <si>
    <t>（再）精神病床数</t>
  </si>
  <si>
    <t>(再)結核病床数</t>
  </si>
  <si>
    <t>一般診療所
病　床　数</t>
  </si>
  <si>
    <t>病院の１日平均
在 院 患 者 数</t>
  </si>
  <si>
    <t>肝疾患死亡率</t>
  </si>
  <si>
    <t>１表（８－６）</t>
  </si>
  <si>
    <t>薬局数</t>
  </si>
  <si>
    <t>（再）精神病床</t>
  </si>
  <si>
    <t>（再）感染症病床</t>
  </si>
  <si>
    <t>（再）結核病床</t>
  </si>
  <si>
    <t>許可病床
100対</t>
  </si>
  <si>
    <t>１表（８－７）</t>
  </si>
  <si>
    <t>（再）薬局・医療
　施設の従事者数</t>
  </si>
  <si>
    <t>１表（８－８）</t>
  </si>
  <si>
    <t>結核登録率</t>
  </si>
  <si>
    <t>結核り患率</t>
  </si>
  <si>
    <t>食中毒り患率</t>
  </si>
  <si>
    <t>平均寿命</t>
  </si>
  <si>
    <t>男</t>
  </si>
  <si>
    <t>女</t>
  </si>
  <si>
    <t>源泉総数</t>
  </si>
  <si>
    <t>ゆう出量</t>
  </si>
  <si>
    <t>源泉数</t>
  </si>
  <si>
    <t>結核登録率及び結核り患率は非定型抗酸菌症を除いたものである｡</t>
  </si>
  <si>
    <t>％</t>
  </si>
  <si>
    <t>注）</t>
  </si>
  <si>
    <t>死　亡　率</t>
  </si>
  <si>
    <t>出　生　率</t>
  </si>
  <si>
    <t>死　産　率</t>
  </si>
  <si>
    <t>高血圧性疾
患死亡率</t>
  </si>
  <si>
    <t xml:space="preserve"> 標にみる大分県の位置</t>
  </si>
  <si>
    <t xml:space="preserve">                      第１表　都道府県別諸指</t>
  </si>
  <si>
    <t xml:space="preserve">         　     第１表　都道府県別諸指</t>
  </si>
  <si>
    <t xml:space="preserve">         　          　   第１表　都道府県別諸指</t>
  </si>
  <si>
    <t xml:space="preserve">       　           　　    第１表　都道府県別諸指</t>
  </si>
  <si>
    <t xml:space="preserve">          　              第１表　都道府県別諸指</t>
  </si>
  <si>
    <t xml:space="preserve">                      　　　　 第１表　都道府県別諸指</t>
  </si>
  <si>
    <t>（再）大　腸　の
　　　悪性新生物</t>
  </si>
  <si>
    <t>（再）胆のう及びそ
　　　の他の胆道の
　　　悪性新生物</t>
  </si>
  <si>
    <t>Ｌ／ｍ</t>
  </si>
  <si>
    <t>人口の自然
増　加　率</t>
  </si>
  <si>
    <t>死産率、自然死産率、人工死産率は出産（出生＋死産）千対。</t>
  </si>
  <si>
    <t>周産期死亡率、妊娠22週以後の死産率は出産（出生＋妊娠満22週以後の死産）千対。</t>
  </si>
  <si>
    <t>愛媛</t>
  </si>
  <si>
    <t>平成12年</t>
  </si>
  <si>
    <t>妊娠満22週
以後の死産率</t>
  </si>
  <si>
    <t>「（再）子宮の悪性新生物」の死亡率は女子人口10万対の率である。</t>
  </si>
  <si>
    <t>(再)その他の病床等</t>
  </si>
  <si>
    <t>（再）その他の病床等</t>
  </si>
  <si>
    <t>医師数
（平成14年）</t>
  </si>
  <si>
    <t xml:space="preserve"> 歯 科
医  師  数
（平成14年）</t>
  </si>
  <si>
    <t>（再）医療機関
      従事医師数</t>
  </si>
  <si>
    <t>（再）医療機関従事
    歯科医師数</t>
  </si>
  <si>
    <t>平成15年</t>
  </si>
  <si>
    <t>全国には住所が外国・不詳を含む。</t>
  </si>
  <si>
    <t>注：この表（8-7)記載の資料は２年に一度の調査のため、平成15年の数値はない。</t>
  </si>
  <si>
    <t>薬剤師数
（平成14年）</t>
  </si>
  <si>
    <t>就業看護師数
（平成14年）</t>
  </si>
  <si>
    <t>就業准看護師数
（平成14年）</t>
  </si>
  <si>
    <t>就業歯科
衛生士数
（平成14年）</t>
  </si>
  <si>
    <t>就業歯科
技工士数
（平成14年）</t>
  </si>
  <si>
    <t>就業あん魔
マッサージ
指圧士数
（平成14年）</t>
  </si>
  <si>
    <t>就業はり師数
（平成14年）</t>
  </si>
  <si>
    <t>就業きゅう師数
（平成14年）</t>
  </si>
  <si>
    <t>就業柔道
整復師数
（平成14年）</t>
  </si>
  <si>
    <t>（再）就業保健師数
（平成14年）</t>
  </si>
  <si>
    <t>（再）就業助産師数
（平成14年）</t>
  </si>
  <si>
    <t>水道普及率
（16年3月31日）</t>
  </si>
  <si>
    <t>病　院　の
病床利用率
総　数</t>
  </si>
  <si>
    <t>精神病院</t>
  </si>
  <si>
    <t>結核病院</t>
  </si>
  <si>
    <t>その他の一般病院</t>
  </si>
  <si>
    <t>総　　数</t>
  </si>
  <si>
    <t>全部その他の
病床等の病院</t>
  </si>
  <si>
    <r>
      <t>病院の1日平均
外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来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患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者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数</t>
    </r>
  </si>
  <si>
    <t>・</t>
  </si>
  <si>
    <t>一　　般　　病　　院</t>
  </si>
  <si>
    <t>一　般　病　院</t>
  </si>
  <si>
    <t>　標にみる大分県の位置</t>
  </si>
  <si>
    <t>第１表　都道府県別諸指　</t>
  </si>
  <si>
    <t>温泉（平成16年3月）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</si>
</sst>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_);[Red]\(0.0\)"/>
    <numFmt numFmtId="178" formatCode="0;&quot;△ &quot;0"/>
    <numFmt numFmtId="179" formatCode="0.0;&quot;△ &quot;0.0"/>
    <numFmt numFmtId="180" formatCode="0.0_ "/>
    <numFmt numFmtId="181" formatCode="0.0;&quot;△ &quot;0.0\ "/>
    <numFmt numFmtId="182" formatCode="0.00_);[Red]\(0.00\)"/>
    <numFmt numFmtId="183" formatCode="General\ "/>
    <numFmt numFmtId="184" formatCode="General\ \ "/>
    <numFmt numFmtId="185" formatCode="&quot;-&quot;\ \ "/>
    <numFmt numFmtId="186" formatCode="0.00_);[Red]\(0.00\)\ "/>
    <numFmt numFmtId="187" formatCode="0.0"/>
    <numFmt numFmtId="188" formatCode="#&quot; &quot;##0.00"/>
    <numFmt numFmtId="189" formatCode="#&quot; &quot;##0.0"/>
    <numFmt numFmtId="190" formatCode="0.00;&quot;△ &quot;0.00"/>
    <numFmt numFmtId="191" formatCode="0.0;&quot;△&quot;0.0"/>
    <numFmt numFmtId="192" formatCode="0.00;&quot;△&quot;0.00"/>
    <numFmt numFmtId="193" formatCode="0\ ;&quot;△&quot;0.0"/>
    <numFmt numFmtId="194" formatCode="#&quot; &quot;###&quot; &quot;##0"/>
    <numFmt numFmtId="195" formatCode="#\ ##0;&quot;△&quot;#\ ##0;&quot;-&quot;;@"/>
    <numFmt numFmtId="196" formatCode="#\ ##0.0;&quot;△&quot;#\ ##0.0;&quot;-&quot;;@"/>
    <numFmt numFmtId="197" formatCode="#\ ##0.00;&quot;△&quot;#\ ##0.00;&quot;-&quot;;@"/>
    <numFmt numFmtId="198" formatCode="#\ ###\ ##0;&quot;△&quot;#\ ###\ ##0;&quot;-&quot;;@"/>
    <numFmt numFmtId="199" formatCode="##\ ##0.0;&quot;△&quot;##\ ##0.0;&quot;-&quot;;@"/>
    <numFmt numFmtId="200" formatCode="###\ ##0.0;&quot;△&quot;###\ ##0.0;&quot;-&quot;;@"/>
    <numFmt numFmtId="201" formatCode="####\ ##0.0;&quot;△&quot;####\ ##0.0;&quot;-&quot;;@"/>
    <numFmt numFmtId="202" formatCode="#####\ ##0.0;&quot;△&quot;#####\ ##0.0;&quot;-&quot;;@"/>
  </numFmts>
  <fonts count="19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明朝"/>
      <family val="1"/>
    </font>
    <font>
      <sz val="9"/>
      <name val="ＭＳ Ｐ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Ｐゴシック"/>
      <family val="3"/>
    </font>
    <font>
      <sz val="10"/>
      <name val="ＭＳ 明朝"/>
      <family val="1"/>
    </font>
    <font>
      <sz val="9"/>
      <color indexed="10"/>
      <name val="ＭＳ 明朝"/>
      <family val="1"/>
    </font>
    <font>
      <b/>
      <sz val="9"/>
      <color indexed="10"/>
      <name val="ＭＳ 明朝"/>
      <family val="1"/>
    </font>
    <font>
      <sz val="8"/>
      <name val="ＭＳ 明朝"/>
      <family val="1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 vertical="center"/>
      <protection/>
    </xf>
  </cellStyleXfs>
  <cellXfs count="27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87" fontId="3" fillId="0" borderId="0" xfId="0" applyNumberFormat="1" applyFont="1" applyAlignment="1">
      <alignment vertical="center"/>
    </xf>
    <xf numFmtId="0" fontId="3" fillId="0" borderId="0" xfId="20" applyAlignment="1">
      <alignment horizontal="center" vertical="center"/>
      <protection/>
    </xf>
    <xf numFmtId="0" fontId="3" fillId="0" borderId="0" xfId="20" applyAlignment="1">
      <alignment vertical="center"/>
      <protection/>
    </xf>
    <xf numFmtId="176" fontId="3" fillId="0" borderId="0" xfId="20" applyNumberFormat="1" applyAlignment="1">
      <alignment vertical="center"/>
      <protection/>
    </xf>
    <xf numFmtId="0" fontId="3" fillId="0" borderId="1" xfId="20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58" fontId="5" fillId="0" borderId="1" xfId="20" applyNumberFormat="1" applyFont="1" applyBorder="1" applyAlignment="1">
      <alignment horizontal="right" vertical="center"/>
      <protection/>
    </xf>
    <xf numFmtId="0" fontId="3" fillId="0" borderId="0" xfId="20" applyBorder="1" applyAlignment="1">
      <alignment vertical="center"/>
      <protection/>
    </xf>
    <xf numFmtId="0" fontId="1" fillId="0" borderId="0" xfId="20" applyFont="1" applyAlignment="1">
      <alignment horizontal="left" vertical="center"/>
      <protection/>
    </xf>
    <xf numFmtId="0" fontId="7" fillId="0" borderId="2" xfId="20" applyFont="1" applyBorder="1" applyAlignment="1">
      <alignment horizontal="center" vertical="center"/>
      <protection/>
    </xf>
    <xf numFmtId="0" fontId="7" fillId="0" borderId="3" xfId="20" applyFont="1" applyBorder="1" applyAlignment="1">
      <alignment horizontal="center" vertical="center" textRotation="255"/>
      <protection/>
    </xf>
    <xf numFmtId="0" fontId="7" fillId="0" borderId="3" xfId="20" applyFont="1" applyBorder="1" applyAlignment="1">
      <alignment horizontal="center" vertical="center"/>
      <protection/>
    </xf>
    <xf numFmtId="0" fontId="9" fillId="0" borderId="0" xfId="20" applyFont="1" applyAlignment="1">
      <alignment horizontal="distributed" vertical="center"/>
      <protection/>
    </xf>
    <xf numFmtId="0" fontId="7" fillId="0" borderId="0" xfId="20" applyFont="1" applyAlignment="1">
      <alignment horizontal="distributed" vertical="center"/>
      <protection/>
    </xf>
    <xf numFmtId="0" fontId="9" fillId="0" borderId="4" xfId="20" applyFont="1" applyBorder="1" applyAlignment="1">
      <alignment horizontal="distributed" vertical="center"/>
      <protection/>
    </xf>
    <xf numFmtId="0" fontId="7" fillId="0" borderId="5" xfId="20" applyFont="1" applyBorder="1" applyAlignment="1">
      <alignment horizontal="distributed" vertical="center"/>
      <protection/>
    </xf>
    <xf numFmtId="0" fontId="9" fillId="0" borderId="5" xfId="20" applyFont="1" applyBorder="1" applyAlignment="1">
      <alignment horizontal="distributed" vertical="center"/>
      <protection/>
    </xf>
    <xf numFmtId="0" fontId="3" fillId="0" borderId="0" xfId="20" applyFont="1" applyAlignment="1">
      <alignment horizontal="left" vertical="center"/>
      <protection/>
    </xf>
    <xf numFmtId="189" fontId="7" fillId="0" borderId="0" xfId="20" applyNumberFormat="1" applyFont="1" applyBorder="1" applyAlignment="1">
      <alignment horizontal="right" vertical="center"/>
      <protection/>
    </xf>
    <xf numFmtId="189" fontId="9" fillId="0" borderId="0" xfId="20" applyNumberFormat="1" applyFont="1" applyBorder="1" applyAlignment="1">
      <alignment horizontal="right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vertical="center"/>
      <protection/>
    </xf>
    <xf numFmtId="195" fontId="9" fillId="0" borderId="4" xfId="20" applyNumberFormat="1" applyFont="1" applyBorder="1" applyAlignment="1">
      <alignment horizontal="right" vertical="center"/>
      <protection/>
    </xf>
    <xf numFmtId="195" fontId="9" fillId="0" borderId="6" xfId="20" applyNumberFormat="1" applyFont="1" applyBorder="1" applyAlignment="1">
      <alignment horizontal="right" vertical="center"/>
      <protection/>
    </xf>
    <xf numFmtId="196" fontId="9" fillId="0" borderId="6" xfId="20" applyNumberFormat="1" applyFont="1" applyBorder="1" applyAlignment="1">
      <alignment horizontal="right" vertical="center"/>
      <protection/>
    </xf>
    <xf numFmtId="196" fontId="7" fillId="0" borderId="0" xfId="20" applyNumberFormat="1" applyFont="1" applyBorder="1" applyAlignment="1">
      <alignment horizontal="right" vertical="center"/>
      <protection/>
    </xf>
    <xf numFmtId="196" fontId="9" fillId="0" borderId="0" xfId="20" applyNumberFormat="1" applyFont="1" applyBorder="1" applyAlignment="1">
      <alignment horizontal="right" vertical="center"/>
      <protection/>
    </xf>
    <xf numFmtId="0" fontId="7" fillId="0" borderId="7" xfId="20" applyFont="1" applyBorder="1" applyAlignment="1">
      <alignment horizontal="center" vertical="center" textRotation="255"/>
      <protection/>
    </xf>
    <xf numFmtId="196" fontId="9" fillId="0" borderId="8" xfId="20" applyNumberFormat="1" applyFont="1" applyBorder="1" applyAlignment="1">
      <alignment horizontal="right" vertical="center"/>
      <protection/>
    </xf>
    <xf numFmtId="196" fontId="7" fillId="0" borderId="9" xfId="20" applyNumberFormat="1" applyFont="1" applyBorder="1" applyAlignment="1">
      <alignment horizontal="right" vertical="center"/>
      <protection/>
    </xf>
    <xf numFmtId="196" fontId="9" fillId="0" borderId="9" xfId="20" applyNumberFormat="1" applyFont="1" applyBorder="1" applyAlignment="1">
      <alignment horizontal="right" vertical="center"/>
      <protection/>
    </xf>
    <xf numFmtId="58" fontId="3" fillId="0" borderId="1" xfId="20" applyNumberFormat="1" applyFont="1" applyBorder="1" applyAlignment="1">
      <alignment horizontal="right" vertical="center"/>
      <protection/>
    </xf>
    <xf numFmtId="0" fontId="11" fillId="0" borderId="0" xfId="20" applyFont="1" applyAlignment="1">
      <alignment horizontal="center" vertical="center"/>
      <protection/>
    </xf>
    <xf numFmtId="0" fontId="7" fillId="0" borderId="10" xfId="20" applyFont="1" applyBorder="1" applyAlignment="1">
      <alignment horizontal="distributed" vertical="center"/>
      <protection/>
    </xf>
    <xf numFmtId="196" fontId="7" fillId="0" borderId="10" xfId="20" applyNumberFormat="1" applyFont="1" applyBorder="1" applyAlignment="1">
      <alignment horizontal="right" vertical="center"/>
      <protection/>
    </xf>
    <xf numFmtId="0" fontId="7" fillId="0" borderId="2" xfId="20" applyFont="1" applyBorder="1" applyAlignment="1">
      <alignment horizontal="distributed" vertical="center"/>
      <protection/>
    </xf>
    <xf numFmtId="196" fontId="7" fillId="0" borderId="11" xfId="20" applyNumberFormat="1" applyFont="1" applyBorder="1" applyAlignment="1">
      <alignment horizontal="right" vertical="center"/>
      <protection/>
    </xf>
    <xf numFmtId="0" fontId="7" fillId="0" borderId="12" xfId="20" applyFont="1" applyBorder="1" applyAlignment="1">
      <alignment horizontal="center" vertical="center"/>
      <protection/>
    </xf>
    <xf numFmtId="0" fontId="12" fillId="0" borderId="0" xfId="20" applyFont="1" applyAlignment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20" applyFont="1" applyAlignment="1">
      <alignment horizontal="left" vertical="center"/>
      <protection/>
    </xf>
    <xf numFmtId="195" fontId="15" fillId="0" borderId="5" xfId="20" applyNumberFormat="1" applyFont="1" applyBorder="1" applyAlignment="1">
      <alignment horizontal="right" vertical="center"/>
      <protection/>
    </xf>
    <xf numFmtId="195" fontId="15" fillId="0" borderId="2" xfId="20" applyNumberFormat="1" applyFont="1" applyBorder="1" applyAlignment="1">
      <alignment horizontal="right" vertical="center"/>
      <protection/>
    </xf>
    <xf numFmtId="195" fontId="15" fillId="0" borderId="0" xfId="20" applyNumberFormat="1" applyFont="1" applyBorder="1" applyAlignment="1">
      <alignment horizontal="right" vertical="center"/>
      <protection/>
    </xf>
    <xf numFmtId="195" fontId="16" fillId="0" borderId="0" xfId="20" applyNumberFormat="1" applyFont="1" applyBorder="1" applyAlignment="1">
      <alignment horizontal="right" vertical="center"/>
      <protection/>
    </xf>
    <xf numFmtId="195" fontId="15" fillId="0" borderId="10" xfId="20" applyNumberFormat="1" applyFont="1" applyBorder="1" applyAlignment="1">
      <alignment horizontal="right" vertical="center"/>
      <protection/>
    </xf>
    <xf numFmtId="195" fontId="16" fillId="0" borderId="5" xfId="20" applyNumberFormat="1" applyFont="1" applyBorder="1" applyAlignment="1">
      <alignment horizontal="right" vertical="center"/>
      <protection/>
    </xf>
    <xf numFmtId="0" fontId="3" fillId="0" borderId="1" xfId="20" applyFont="1" applyBorder="1" applyAlignment="1">
      <alignment vertical="center"/>
      <protection/>
    </xf>
    <xf numFmtId="0" fontId="7" fillId="0" borderId="0" xfId="20" applyFont="1" applyAlignment="1">
      <alignment horizontal="distributed"/>
      <protection/>
    </xf>
    <xf numFmtId="195" fontId="15" fillId="0" borderId="5" xfId="20" applyNumberFormat="1" applyFont="1" applyBorder="1" applyAlignment="1">
      <alignment horizontal="right"/>
      <protection/>
    </xf>
    <xf numFmtId="196" fontId="7" fillId="0" borderId="0" xfId="20" applyNumberFormat="1" applyFont="1" applyBorder="1" applyAlignment="1">
      <alignment horizontal="right"/>
      <protection/>
    </xf>
    <xf numFmtId="195" fontId="15" fillId="0" borderId="0" xfId="20" applyNumberFormat="1" applyFont="1" applyBorder="1" applyAlignment="1">
      <alignment horizontal="right"/>
      <protection/>
    </xf>
    <xf numFmtId="0" fontId="7" fillId="0" borderId="5" xfId="20" applyFont="1" applyBorder="1" applyAlignment="1">
      <alignment horizontal="distributed"/>
      <protection/>
    </xf>
    <xf numFmtId="0" fontId="3" fillId="0" borderId="0" xfId="0" applyFont="1" applyAlignment="1">
      <alignment/>
    </xf>
    <xf numFmtId="189" fontId="7" fillId="0" borderId="0" xfId="20" applyNumberFormat="1" applyFont="1" applyBorder="1" applyAlignment="1">
      <alignment horizontal="right"/>
      <protection/>
    </xf>
    <xf numFmtId="196" fontId="7" fillId="0" borderId="9" xfId="20" applyNumberFormat="1" applyFont="1" applyBorder="1" applyAlignment="1">
      <alignment horizontal="right"/>
      <protection/>
    </xf>
    <xf numFmtId="196" fontId="9" fillId="0" borderId="6" xfId="20" applyNumberFormat="1" applyFont="1" applyFill="1" applyBorder="1" applyAlignment="1">
      <alignment horizontal="right" vertical="center"/>
      <protection/>
    </xf>
    <xf numFmtId="195" fontId="9" fillId="0" borderId="6" xfId="20" applyNumberFormat="1" applyFont="1" applyFill="1" applyBorder="1" applyAlignment="1">
      <alignment horizontal="right" vertical="center"/>
      <protection/>
    </xf>
    <xf numFmtId="196" fontId="7" fillId="0" borderId="0" xfId="20" applyNumberFormat="1" applyFont="1" applyFill="1" applyBorder="1" applyAlignment="1">
      <alignment horizontal="right"/>
      <protection/>
    </xf>
    <xf numFmtId="195" fontId="15" fillId="0" borderId="0" xfId="20" applyNumberFormat="1" applyFont="1" applyFill="1" applyBorder="1" applyAlignment="1">
      <alignment horizontal="right"/>
      <protection/>
    </xf>
    <xf numFmtId="196" fontId="7" fillId="0" borderId="0" xfId="20" applyNumberFormat="1" applyFont="1" applyFill="1" applyBorder="1" applyAlignment="1">
      <alignment horizontal="right" vertical="center"/>
      <protection/>
    </xf>
    <xf numFmtId="195" fontId="15" fillId="0" borderId="0" xfId="20" applyNumberFormat="1" applyFont="1" applyFill="1" applyBorder="1" applyAlignment="1">
      <alignment horizontal="right" vertical="center"/>
      <protection/>
    </xf>
    <xf numFmtId="196" fontId="9" fillId="0" borderId="0" xfId="20" applyNumberFormat="1" applyFont="1" applyFill="1" applyBorder="1" applyAlignment="1">
      <alignment horizontal="right" vertical="center"/>
      <protection/>
    </xf>
    <xf numFmtId="195" fontId="16" fillId="0" borderId="0" xfId="20" applyNumberFormat="1" applyFont="1" applyFill="1" applyBorder="1" applyAlignment="1">
      <alignment horizontal="right" vertical="center"/>
      <protection/>
    </xf>
    <xf numFmtId="195" fontId="15" fillId="0" borderId="10" xfId="20" applyNumberFormat="1" applyFont="1" applyFill="1" applyBorder="1" applyAlignment="1">
      <alignment horizontal="right" vertical="center"/>
      <protection/>
    </xf>
    <xf numFmtId="0" fontId="7" fillId="0" borderId="9" xfId="20" applyFont="1" applyBorder="1" applyAlignment="1">
      <alignment horizontal="center" vertical="center" textRotation="255"/>
      <protection/>
    </xf>
    <xf numFmtId="0" fontId="7" fillId="0" borderId="11" xfId="20" applyFont="1" applyBorder="1" applyAlignment="1">
      <alignment horizontal="center" vertical="center" textRotation="255"/>
      <protection/>
    </xf>
    <xf numFmtId="0" fontId="7" fillId="0" borderId="11" xfId="20" applyFont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left" vertical="center"/>
    </xf>
    <xf numFmtId="0" fontId="3" fillId="0" borderId="0" xfId="20" applyFill="1" applyBorder="1" applyAlignment="1">
      <alignment vertical="center"/>
      <protection/>
    </xf>
    <xf numFmtId="0" fontId="7" fillId="0" borderId="13" xfId="20" applyFont="1" applyBorder="1" applyAlignment="1">
      <alignment horizontal="center" vertical="center" textRotation="255"/>
      <protection/>
    </xf>
    <xf numFmtId="0" fontId="7" fillId="0" borderId="5" xfId="20" applyFont="1" applyBorder="1" applyAlignment="1">
      <alignment horizontal="center" vertical="center" textRotation="255"/>
      <protection/>
    </xf>
    <xf numFmtId="0" fontId="7" fillId="0" borderId="2" xfId="20" applyFont="1" applyBorder="1" applyAlignment="1">
      <alignment horizontal="center" vertical="center" textRotation="255"/>
      <protection/>
    </xf>
    <xf numFmtId="0" fontId="7" fillId="0" borderId="14" xfId="20" applyFont="1" applyBorder="1" applyAlignment="1">
      <alignment horizontal="center" vertical="center" textRotation="255"/>
      <protection/>
    </xf>
    <xf numFmtId="0" fontId="7" fillId="0" borderId="0" xfId="20" applyFont="1" applyFill="1" applyBorder="1" applyAlignment="1">
      <alignment horizontal="center" vertical="center" wrapText="1"/>
      <protection/>
    </xf>
    <xf numFmtId="0" fontId="7" fillId="0" borderId="0" xfId="20" applyFont="1" applyFill="1" applyBorder="1" applyAlignment="1">
      <alignment horizontal="center" vertical="center"/>
      <protection/>
    </xf>
    <xf numFmtId="0" fontId="7" fillId="0" borderId="15" xfId="20" applyFont="1" applyBorder="1" applyAlignment="1">
      <alignment horizontal="center" vertical="center" wrapText="1"/>
      <protection/>
    </xf>
    <xf numFmtId="0" fontId="7" fillId="0" borderId="13" xfId="20" applyFont="1" applyBorder="1" applyAlignment="1">
      <alignment horizontal="center" vertical="center" wrapText="1"/>
      <protection/>
    </xf>
    <xf numFmtId="0" fontId="7" fillId="0" borderId="16" xfId="20" applyFont="1" applyBorder="1" applyAlignment="1">
      <alignment horizontal="center" vertical="center" wrapText="1"/>
      <protection/>
    </xf>
    <xf numFmtId="0" fontId="7" fillId="0" borderId="2" xfId="20" applyFont="1" applyBorder="1" applyAlignment="1">
      <alignment horizontal="center" vertical="center" wrapText="1"/>
      <protection/>
    </xf>
    <xf numFmtId="0" fontId="7" fillId="0" borderId="10" xfId="20" applyFont="1" applyBorder="1" applyAlignment="1">
      <alignment horizontal="center" vertical="center" wrapText="1"/>
      <protection/>
    </xf>
    <xf numFmtId="0" fontId="7" fillId="0" borderId="10" xfId="20" applyFont="1" applyBorder="1" applyAlignment="1">
      <alignment horizontal="center" vertical="center"/>
      <protection/>
    </xf>
    <xf numFmtId="0" fontId="7" fillId="0" borderId="14" xfId="20" applyFont="1" applyBorder="1" applyAlignment="1">
      <alignment horizontal="center" vertical="center" wrapText="1"/>
      <protection/>
    </xf>
    <xf numFmtId="0" fontId="17" fillId="0" borderId="13" xfId="20" applyFont="1" applyBorder="1" applyAlignment="1">
      <alignment horizontal="center" vertical="center" wrapText="1"/>
      <protection/>
    </xf>
    <xf numFmtId="0" fontId="14" fillId="0" borderId="0" xfId="20" applyNumberFormat="1" applyFont="1" applyFill="1" applyAlignment="1">
      <alignment horizontal="left" vertical="center"/>
      <protection/>
    </xf>
    <xf numFmtId="0" fontId="3" fillId="0" borderId="0" xfId="20" applyNumberFormat="1" applyFill="1" applyAlignment="1">
      <alignment vertical="center"/>
      <protection/>
    </xf>
    <xf numFmtId="179" fontId="11" fillId="0" borderId="0" xfId="20" applyNumberFormat="1" applyFont="1" applyFill="1" applyAlignment="1">
      <alignment horizontal="center" vertical="center"/>
      <protection/>
    </xf>
    <xf numFmtId="0" fontId="11" fillId="0" borderId="0" xfId="20" applyNumberFormat="1" applyFont="1" applyFill="1" applyAlignment="1">
      <alignment horizontal="left" vertical="center"/>
      <protection/>
    </xf>
    <xf numFmtId="179" fontId="3" fillId="0" borderId="0" xfId="20" applyNumberFormat="1" applyFill="1" applyAlignment="1">
      <alignment vertical="center"/>
      <protection/>
    </xf>
    <xf numFmtId="0" fontId="11" fillId="0" borderId="0" xfId="20" applyNumberFormat="1" applyFont="1" applyFill="1" applyAlignment="1">
      <alignment horizontal="center" vertical="center"/>
      <protection/>
    </xf>
    <xf numFmtId="190" fontId="11" fillId="0" borderId="0" xfId="20" applyNumberFormat="1" applyFont="1" applyFill="1" applyAlignment="1">
      <alignment horizontal="center" vertical="center"/>
      <protection/>
    </xf>
    <xf numFmtId="190" fontId="3" fillId="0" borderId="0" xfId="20" applyNumberFormat="1" applyFill="1" applyAlignment="1">
      <alignment vertical="center"/>
      <protection/>
    </xf>
    <xf numFmtId="0" fontId="3" fillId="0" borderId="0" xfId="20" applyNumberFormat="1" applyFill="1" applyAlignment="1">
      <alignment horizontal="center" vertical="center"/>
      <protection/>
    </xf>
    <xf numFmtId="179" fontId="3" fillId="0" borderId="0" xfId="20" applyNumberFormat="1" applyFill="1" applyAlignment="1">
      <alignment horizontal="center" vertical="center"/>
      <protection/>
    </xf>
    <xf numFmtId="0" fontId="3" fillId="0" borderId="1" xfId="20" applyNumberFormat="1" applyFill="1" applyBorder="1" applyAlignment="1">
      <alignment vertical="center"/>
      <protection/>
    </xf>
    <xf numFmtId="179" fontId="3" fillId="0" borderId="1" xfId="20" applyNumberFormat="1" applyFill="1" applyBorder="1" applyAlignment="1">
      <alignment vertical="center"/>
      <protection/>
    </xf>
    <xf numFmtId="190" fontId="3" fillId="0" borderId="1" xfId="20" applyNumberFormat="1" applyFill="1" applyBorder="1" applyAlignment="1">
      <alignment vertical="center"/>
      <protection/>
    </xf>
    <xf numFmtId="0" fontId="5" fillId="0" borderId="1" xfId="20" applyNumberFormat="1" applyFont="1" applyFill="1" applyBorder="1" applyAlignment="1">
      <alignment horizontal="right" vertical="center"/>
      <protection/>
    </xf>
    <xf numFmtId="179" fontId="5" fillId="0" borderId="1" xfId="20" applyNumberFormat="1" applyFont="1" applyFill="1" applyBorder="1" applyAlignment="1">
      <alignment horizontal="right" vertical="center"/>
      <protection/>
    </xf>
    <xf numFmtId="179" fontId="3" fillId="0" borderId="1" xfId="20" applyNumberFormat="1" applyFont="1" applyFill="1" applyBorder="1" applyAlignment="1">
      <alignment horizontal="right" vertical="center"/>
      <protection/>
    </xf>
    <xf numFmtId="0" fontId="7" fillId="0" borderId="14" xfId="20" applyNumberFormat="1" applyFont="1" applyFill="1" applyBorder="1" applyAlignment="1">
      <alignment horizontal="center" vertical="center" textRotation="255"/>
      <protection/>
    </xf>
    <xf numFmtId="179" fontId="7" fillId="0" borderId="13" xfId="20" applyNumberFormat="1" applyFont="1" applyFill="1" applyBorder="1" applyAlignment="1">
      <alignment horizontal="center" vertical="center" wrapText="1"/>
      <protection/>
    </xf>
    <xf numFmtId="179" fontId="7" fillId="0" borderId="14" xfId="20" applyNumberFormat="1" applyFont="1" applyFill="1" applyBorder="1" applyAlignment="1">
      <alignment horizontal="center" vertical="center"/>
      <protection/>
    </xf>
    <xf numFmtId="179" fontId="7" fillId="0" borderId="13" xfId="20" applyNumberFormat="1" applyFont="1" applyFill="1" applyBorder="1" applyAlignment="1">
      <alignment horizontal="center" vertical="center"/>
      <protection/>
    </xf>
    <xf numFmtId="190" fontId="7" fillId="0" borderId="13" xfId="20" applyNumberFormat="1" applyFont="1" applyFill="1" applyBorder="1" applyAlignment="1">
      <alignment horizontal="center" vertical="center" wrapText="1"/>
      <protection/>
    </xf>
    <xf numFmtId="190" fontId="8" fillId="0" borderId="16" xfId="0" applyNumberFormat="1" applyFont="1" applyFill="1" applyBorder="1" applyAlignment="1">
      <alignment vertical="center"/>
    </xf>
    <xf numFmtId="179" fontId="7" fillId="0" borderId="16" xfId="20" applyNumberFormat="1" applyFont="1" applyFill="1" applyBorder="1" applyAlignment="1">
      <alignment horizontal="center" vertical="center" wrapText="1"/>
      <protection/>
    </xf>
    <xf numFmtId="0" fontId="7" fillId="0" borderId="15" xfId="20" applyNumberFormat="1" applyFont="1" applyFill="1" applyBorder="1" applyAlignment="1">
      <alignment horizontal="center" vertical="center" wrapText="1"/>
      <protection/>
    </xf>
    <xf numFmtId="179" fontId="7" fillId="0" borderId="15" xfId="20" applyNumberFormat="1" applyFont="1" applyFill="1" applyBorder="1" applyAlignment="1">
      <alignment horizontal="center" vertical="center" wrapText="1"/>
      <protection/>
    </xf>
    <xf numFmtId="0" fontId="3" fillId="0" borderId="0" xfId="20" applyNumberFormat="1" applyFill="1" applyBorder="1" applyAlignment="1">
      <alignment vertical="center"/>
      <protection/>
    </xf>
    <xf numFmtId="0" fontId="7" fillId="0" borderId="9" xfId="20" applyNumberFormat="1" applyFont="1" applyFill="1" applyBorder="1" applyAlignment="1">
      <alignment horizontal="center" vertical="center" textRotation="255"/>
      <protection/>
    </xf>
    <xf numFmtId="179" fontId="7" fillId="0" borderId="2" xfId="20" applyNumberFormat="1" applyFont="1" applyFill="1" applyBorder="1" applyAlignment="1">
      <alignment horizontal="center" vertical="center"/>
      <protection/>
    </xf>
    <xf numFmtId="179" fontId="7" fillId="0" borderId="11" xfId="20" applyNumberFormat="1" applyFont="1" applyFill="1" applyBorder="1" applyAlignment="1">
      <alignment horizontal="center" vertical="center"/>
      <protection/>
    </xf>
    <xf numFmtId="190" fontId="10" fillId="0" borderId="5" xfId="0" applyNumberFormat="1" applyFont="1" applyFill="1" applyBorder="1" applyAlignment="1">
      <alignment horizontal="center" vertical="center"/>
    </xf>
    <xf numFmtId="190" fontId="10" fillId="0" borderId="9" xfId="0" applyNumberFormat="1" applyFont="1" applyFill="1" applyBorder="1" applyAlignment="1">
      <alignment horizontal="center" vertical="center"/>
    </xf>
    <xf numFmtId="179" fontId="7" fillId="0" borderId="2" xfId="20" applyNumberFormat="1" applyFont="1" applyFill="1" applyBorder="1" applyAlignment="1">
      <alignment horizontal="center" vertical="center" wrapText="1"/>
      <protection/>
    </xf>
    <xf numFmtId="179" fontId="7" fillId="0" borderId="10" xfId="20" applyNumberFormat="1" applyFont="1" applyFill="1" applyBorder="1" applyAlignment="1">
      <alignment horizontal="center" vertical="center" wrapText="1"/>
      <protection/>
    </xf>
    <xf numFmtId="179" fontId="7" fillId="0" borderId="12" xfId="20" applyNumberFormat="1" applyFont="1" applyFill="1" applyBorder="1" applyAlignment="1">
      <alignment horizontal="center" vertical="center" wrapText="1"/>
      <protection/>
    </xf>
    <xf numFmtId="179" fontId="7" fillId="0" borderId="17" xfId="20" applyNumberFormat="1" applyFont="1" applyFill="1" applyBorder="1" applyAlignment="1">
      <alignment horizontal="center" vertical="center" wrapText="1"/>
      <protection/>
    </xf>
    <xf numFmtId="179" fontId="7" fillId="0" borderId="12" xfId="20" applyNumberFormat="1" applyFont="1" applyFill="1" applyBorder="1" applyAlignment="1">
      <alignment horizontal="center" vertical="center" shrinkToFit="1"/>
      <protection/>
    </xf>
    <xf numFmtId="179" fontId="7" fillId="0" borderId="17" xfId="20" applyNumberFormat="1" applyFont="1" applyFill="1" applyBorder="1" applyAlignment="1">
      <alignment horizontal="center" vertical="center" shrinkToFit="1"/>
      <protection/>
    </xf>
    <xf numFmtId="0" fontId="7" fillId="0" borderId="11" xfId="20" applyNumberFormat="1" applyFont="1" applyFill="1" applyBorder="1" applyAlignment="1">
      <alignment horizontal="center" vertical="center" textRotation="255"/>
      <protection/>
    </xf>
    <xf numFmtId="0" fontId="7" fillId="0" borderId="3" xfId="20" applyNumberFormat="1" applyFont="1" applyFill="1" applyBorder="1" applyAlignment="1">
      <alignment horizontal="center" vertical="center" textRotation="255"/>
      <protection/>
    </xf>
    <xf numFmtId="179" fontId="7" fillId="0" borderId="3" xfId="20" applyNumberFormat="1" applyFont="1" applyFill="1" applyBorder="1" applyAlignment="1">
      <alignment horizontal="center" vertical="center"/>
      <protection/>
    </xf>
    <xf numFmtId="0" fontId="7" fillId="0" borderId="18" xfId="20" applyNumberFormat="1" applyFont="1" applyFill="1" applyBorder="1" applyAlignment="1">
      <alignment horizontal="center" vertical="center" textRotation="255"/>
      <protection/>
    </xf>
    <xf numFmtId="190" fontId="7" fillId="0" borderId="3" xfId="20" applyNumberFormat="1" applyFont="1" applyFill="1" applyBorder="1" applyAlignment="1">
      <alignment horizontal="center" vertical="center"/>
      <protection/>
    </xf>
    <xf numFmtId="179" fontId="7" fillId="0" borderId="2" xfId="20" applyNumberFormat="1" applyFont="1" applyFill="1" applyBorder="1" applyAlignment="1">
      <alignment horizontal="center" vertical="center"/>
      <protection/>
    </xf>
    <xf numFmtId="0" fontId="9" fillId="0" borderId="0" xfId="20" applyNumberFormat="1" applyFont="1" applyFill="1" applyAlignment="1">
      <alignment horizontal="distributed" vertical="center"/>
      <protection/>
    </xf>
    <xf numFmtId="0" fontId="9" fillId="0" borderId="4" xfId="20" applyNumberFormat="1" applyFont="1" applyFill="1" applyBorder="1" applyAlignment="1">
      <alignment horizontal="right" vertical="center"/>
      <protection/>
    </xf>
    <xf numFmtId="179" fontId="9" fillId="0" borderId="6" xfId="20" applyNumberFormat="1" applyFont="1" applyFill="1" applyBorder="1" applyAlignment="1">
      <alignment horizontal="right" vertical="center"/>
      <protection/>
    </xf>
    <xf numFmtId="0" fontId="9" fillId="0" borderId="6" xfId="20" applyNumberFormat="1" applyFont="1" applyFill="1" applyBorder="1" applyAlignment="1">
      <alignment horizontal="right" vertical="center"/>
      <protection/>
    </xf>
    <xf numFmtId="190" fontId="9" fillId="0" borderId="6" xfId="20" applyNumberFormat="1" applyFont="1" applyFill="1" applyBorder="1" applyAlignment="1">
      <alignment horizontal="right" vertical="center"/>
      <protection/>
    </xf>
    <xf numFmtId="0" fontId="6" fillId="0" borderId="0" xfId="20" applyNumberFormat="1" applyFont="1" applyFill="1" applyAlignment="1">
      <alignment vertical="center"/>
      <protection/>
    </xf>
    <xf numFmtId="0" fontId="7" fillId="0" borderId="0" xfId="20" applyNumberFormat="1" applyFont="1" applyFill="1" applyAlignment="1">
      <alignment horizontal="distributed"/>
      <protection/>
    </xf>
    <xf numFmtId="0" fontId="15" fillId="0" borderId="5" xfId="20" applyNumberFormat="1" applyFont="1" applyFill="1" applyBorder="1" applyAlignment="1">
      <alignment horizontal="right"/>
      <protection/>
    </xf>
    <xf numFmtId="179" fontId="7" fillId="0" borderId="0" xfId="20" applyNumberFormat="1" applyFont="1" applyFill="1" applyBorder="1" applyAlignment="1">
      <alignment horizontal="right"/>
      <protection/>
    </xf>
    <xf numFmtId="0" fontId="15" fillId="0" borderId="0" xfId="20" applyNumberFormat="1" applyFont="1" applyFill="1" applyBorder="1" applyAlignment="1">
      <alignment horizontal="right"/>
      <protection/>
    </xf>
    <xf numFmtId="190" fontId="7" fillId="0" borderId="0" xfId="20" applyNumberFormat="1" applyFont="1" applyFill="1" applyBorder="1" applyAlignment="1">
      <alignment horizontal="right"/>
      <protection/>
    </xf>
    <xf numFmtId="0" fontId="3" fillId="0" borderId="0" xfId="20" applyNumberFormat="1" applyFill="1" applyAlignment="1">
      <alignment/>
      <protection/>
    </xf>
    <xf numFmtId="0" fontId="7" fillId="0" borderId="0" xfId="20" applyNumberFormat="1" applyFont="1" applyFill="1" applyAlignment="1">
      <alignment horizontal="distributed" vertical="center"/>
      <protection/>
    </xf>
    <xf numFmtId="0" fontId="15" fillId="0" borderId="5" xfId="20" applyNumberFormat="1" applyFont="1" applyFill="1" applyBorder="1" applyAlignment="1">
      <alignment horizontal="right" vertical="center"/>
      <protection/>
    </xf>
    <xf numFmtId="179" fontId="7" fillId="0" borderId="0" xfId="20" applyNumberFormat="1" applyFont="1" applyFill="1" applyBorder="1" applyAlignment="1">
      <alignment horizontal="right" vertical="center"/>
      <protection/>
    </xf>
    <xf numFmtId="0" fontId="15" fillId="0" borderId="0" xfId="20" applyNumberFormat="1" applyFont="1" applyFill="1" applyBorder="1" applyAlignment="1">
      <alignment horizontal="right" vertical="center"/>
      <protection/>
    </xf>
    <xf numFmtId="190" fontId="7" fillId="0" borderId="0" xfId="20" applyNumberFormat="1" applyFont="1" applyFill="1" applyBorder="1" applyAlignment="1">
      <alignment horizontal="right" vertical="center"/>
      <protection/>
    </xf>
    <xf numFmtId="179" fontId="9" fillId="0" borderId="0" xfId="20" applyNumberFormat="1" applyFont="1" applyFill="1" applyBorder="1" applyAlignment="1">
      <alignment horizontal="right" vertical="center"/>
      <protection/>
    </xf>
    <xf numFmtId="0" fontId="16" fillId="0" borderId="0" xfId="20" applyNumberFormat="1" applyFont="1" applyFill="1" applyBorder="1" applyAlignment="1">
      <alignment horizontal="right" vertical="center"/>
      <protection/>
    </xf>
    <xf numFmtId="190" fontId="9" fillId="0" borderId="0" xfId="20" applyNumberFormat="1" applyFont="1" applyFill="1" applyBorder="1" applyAlignment="1">
      <alignment horizontal="right" vertical="center"/>
      <protection/>
    </xf>
    <xf numFmtId="0" fontId="7" fillId="0" borderId="10" xfId="20" applyNumberFormat="1" applyFont="1" applyFill="1" applyBorder="1" applyAlignment="1">
      <alignment horizontal="distributed" vertical="center"/>
      <protection/>
    </xf>
    <xf numFmtId="0" fontId="15" fillId="0" borderId="2" xfId="20" applyNumberFormat="1" applyFont="1" applyFill="1" applyBorder="1" applyAlignment="1">
      <alignment horizontal="right" vertical="center"/>
      <protection/>
    </xf>
    <xf numFmtId="179" fontId="7" fillId="0" borderId="10" xfId="20" applyNumberFormat="1" applyFont="1" applyFill="1" applyBorder="1" applyAlignment="1">
      <alignment horizontal="right" vertical="center"/>
      <protection/>
    </xf>
    <xf numFmtId="0" fontId="15" fillId="0" borderId="10" xfId="20" applyNumberFormat="1" applyFont="1" applyFill="1" applyBorder="1" applyAlignment="1">
      <alignment horizontal="right" vertical="center"/>
      <protection/>
    </xf>
    <xf numFmtId="190" fontId="7" fillId="0" borderId="10" xfId="20" applyNumberFormat="1" applyFont="1" applyFill="1" applyBorder="1" applyAlignment="1">
      <alignment horizontal="right" vertical="center"/>
      <protection/>
    </xf>
    <xf numFmtId="0" fontId="14" fillId="0" borderId="0" xfId="20" applyFont="1" applyFill="1" applyAlignment="1">
      <alignment horizontal="left" vertical="center"/>
      <protection/>
    </xf>
    <xf numFmtId="0" fontId="11" fillId="0" borderId="0" xfId="20" applyFont="1" applyFill="1" applyAlignment="1">
      <alignment horizontal="center" vertical="center"/>
      <protection/>
    </xf>
    <xf numFmtId="0" fontId="12" fillId="0" borderId="0" xfId="20" applyFont="1" applyFill="1" applyAlignment="1">
      <alignment horizontal="left" vertical="center"/>
      <protection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176" fontId="3" fillId="0" borderId="0" xfId="20" applyNumberFormat="1" applyFill="1" applyAlignment="1">
      <alignment vertical="center"/>
      <protection/>
    </xf>
    <xf numFmtId="0" fontId="3" fillId="0" borderId="0" xfId="20" applyFill="1" applyAlignment="1">
      <alignment vertical="center"/>
      <protection/>
    </xf>
    <xf numFmtId="0" fontId="3" fillId="0" borderId="0" xfId="20" applyFill="1" applyAlignment="1">
      <alignment horizontal="center" vertical="center"/>
      <protection/>
    </xf>
    <xf numFmtId="0" fontId="1" fillId="0" borderId="0" xfId="20" applyFont="1" applyFill="1" applyAlignment="1">
      <alignment horizontal="left" vertical="center"/>
      <protection/>
    </xf>
    <xf numFmtId="0" fontId="3" fillId="0" borderId="1" xfId="20" applyFill="1" applyBorder="1" applyAlignment="1">
      <alignment vertical="center"/>
      <protection/>
    </xf>
    <xf numFmtId="58" fontId="5" fillId="0" borderId="1" xfId="20" applyNumberFormat="1" applyFont="1" applyFill="1" applyBorder="1" applyAlignment="1">
      <alignment horizontal="right" vertical="center"/>
      <protection/>
    </xf>
    <xf numFmtId="58" fontId="3" fillId="0" borderId="1" xfId="20" applyNumberFormat="1" applyFont="1" applyFill="1" applyBorder="1" applyAlignment="1">
      <alignment horizontal="right" vertical="center"/>
      <protection/>
    </xf>
    <xf numFmtId="0" fontId="7" fillId="0" borderId="14" xfId="20" applyFont="1" applyFill="1" applyBorder="1" applyAlignment="1">
      <alignment horizontal="center" vertical="center" textRotation="255"/>
      <protection/>
    </xf>
    <xf numFmtId="0" fontId="7" fillId="0" borderId="13" xfId="20" applyFont="1" applyFill="1" applyBorder="1" applyAlignment="1">
      <alignment horizontal="center" vertical="center" wrapText="1"/>
      <protection/>
    </xf>
    <xf numFmtId="0" fontId="7" fillId="0" borderId="16" xfId="20" applyFont="1" applyFill="1" applyBorder="1" applyAlignment="1">
      <alignment horizontal="center" vertical="center" wrapText="1"/>
      <protection/>
    </xf>
    <xf numFmtId="0" fontId="7" fillId="0" borderId="15" xfId="20" applyFont="1" applyFill="1" applyBorder="1" applyAlignment="1">
      <alignment horizontal="center" vertical="center" wrapText="1"/>
      <protection/>
    </xf>
    <xf numFmtId="0" fontId="7" fillId="0" borderId="19" xfId="20" applyFont="1" applyFill="1" applyBorder="1" applyAlignment="1">
      <alignment horizontal="center" vertical="center" wrapText="1"/>
      <protection/>
    </xf>
    <xf numFmtId="0" fontId="7" fillId="0" borderId="20" xfId="20" applyFont="1" applyFill="1" applyBorder="1" applyAlignment="1">
      <alignment horizontal="center" vertical="center" wrapText="1"/>
      <protection/>
    </xf>
    <xf numFmtId="0" fontId="7" fillId="0" borderId="13" xfId="20" applyFont="1" applyFill="1" applyBorder="1" applyAlignment="1">
      <alignment horizontal="center" vertical="center" textRotation="255"/>
      <protection/>
    </xf>
    <xf numFmtId="0" fontId="7" fillId="0" borderId="9" xfId="20" applyFont="1" applyFill="1" applyBorder="1" applyAlignment="1">
      <alignment horizontal="center" vertical="center" textRotation="255"/>
      <protection/>
    </xf>
    <xf numFmtId="0" fontId="7" fillId="0" borderId="2" xfId="20" applyFont="1" applyFill="1" applyBorder="1" applyAlignment="1">
      <alignment horizontal="center" vertical="center" wrapText="1"/>
      <protection/>
    </xf>
    <xf numFmtId="0" fontId="7" fillId="0" borderId="11" xfId="20" applyFont="1" applyFill="1" applyBorder="1" applyAlignment="1">
      <alignment horizontal="center" vertical="center" wrapText="1"/>
      <protection/>
    </xf>
    <xf numFmtId="0" fontId="7" fillId="0" borderId="2" xfId="20" applyFont="1" applyFill="1" applyBorder="1" applyAlignment="1">
      <alignment horizontal="center" vertical="center"/>
      <protection/>
    </xf>
    <xf numFmtId="0" fontId="7" fillId="0" borderId="11" xfId="20" applyFont="1" applyFill="1" applyBorder="1" applyAlignment="1">
      <alignment horizontal="center" vertical="center"/>
      <protection/>
    </xf>
    <xf numFmtId="0" fontId="7" fillId="0" borderId="12" xfId="20" applyFont="1" applyFill="1" applyBorder="1" applyAlignment="1">
      <alignment horizontal="center" vertical="center"/>
      <protection/>
    </xf>
    <xf numFmtId="0" fontId="7" fillId="0" borderId="7" xfId="20" applyFont="1" applyFill="1" applyBorder="1" applyAlignment="1">
      <alignment horizontal="center" vertical="center"/>
      <protection/>
    </xf>
    <xf numFmtId="0" fontId="7" fillId="0" borderId="10" xfId="20" applyFont="1" applyFill="1" applyBorder="1" applyAlignment="1">
      <alignment horizontal="center" vertical="center" wrapText="1"/>
      <protection/>
    </xf>
    <xf numFmtId="0" fontId="7" fillId="0" borderId="17" xfId="20" applyFont="1" applyFill="1" applyBorder="1" applyAlignment="1">
      <alignment horizontal="center" vertical="center" wrapText="1"/>
      <protection/>
    </xf>
    <xf numFmtId="0" fontId="7" fillId="0" borderId="12" xfId="20" applyFont="1" applyFill="1" applyBorder="1" applyAlignment="1">
      <alignment horizontal="center" vertical="center" wrapText="1"/>
      <protection/>
    </xf>
    <xf numFmtId="0" fontId="7" fillId="0" borderId="5" xfId="20" applyFont="1" applyFill="1" applyBorder="1" applyAlignment="1">
      <alignment horizontal="center" vertical="center" textRotation="255"/>
      <protection/>
    </xf>
    <xf numFmtId="0" fontId="7" fillId="0" borderId="11" xfId="20" applyFont="1" applyFill="1" applyBorder="1" applyAlignment="1">
      <alignment horizontal="center" vertical="center" textRotation="255"/>
      <protection/>
    </xf>
    <xf numFmtId="0" fontId="7" fillId="0" borderId="3" xfId="20" applyFont="1" applyFill="1" applyBorder="1" applyAlignment="1">
      <alignment horizontal="center" vertical="center" textRotation="255"/>
      <protection/>
    </xf>
    <xf numFmtId="0" fontId="7" fillId="0" borderId="3" xfId="20" applyFont="1" applyFill="1" applyBorder="1" applyAlignment="1">
      <alignment horizontal="center" vertical="center"/>
      <protection/>
    </xf>
    <xf numFmtId="0" fontId="7" fillId="0" borderId="3" xfId="20" applyFont="1" applyFill="1" applyBorder="1" applyAlignment="1">
      <alignment horizontal="center" vertical="center" wrapText="1"/>
      <protection/>
    </xf>
    <xf numFmtId="0" fontId="7" fillId="0" borderId="11" xfId="20" applyFont="1" applyFill="1" applyBorder="1" applyAlignment="1">
      <alignment horizontal="center" vertical="center" textRotation="255"/>
      <protection/>
    </xf>
    <xf numFmtId="0" fontId="7" fillId="0" borderId="2" xfId="20" applyFont="1" applyFill="1" applyBorder="1" applyAlignment="1">
      <alignment horizontal="center" vertical="center"/>
      <protection/>
    </xf>
    <xf numFmtId="0" fontId="7" fillId="0" borderId="2" xfId="20" applyFont="1" applyFill="1" applyBorder="1" applyAlignment="1">
      <alignment horizontal="center" vertical="center" textRotation="255"/>
      <protection/>
    </xf>
    <xf numFmtId="0" fontId="9" fillId="0" borderId="0" xfId="20" applyFont="1" applyFill="1" applyAlignment="1">
      <alignment horizontal="distributed" vertical="center"/>
      <protection/>
    </xf>
    <xf numFmtId="195" fontId="9" fillId="0" borderId="4" xfId="20" applyNumberFormat="1" applyFont="1" applyFill="1" applyBorder="1" applyAlignment="1">
      <alignment horizontal="right" vertical="center"/>
      <protection/>
    </xf>
    <xf numFmtId="197" fontId="9" fillId="0" borderId="8" xfId="20" applyNumberFormat="1" applyFont="1" applyFill="1" applyBorder="1" applyAlignment="1">
      <alignment horizontal="right" vertical="center"/>
      <protection/>
    </xf>
    <xf numFmtId="0" fontId="9" fillId="0" borderId="4" xfId="20" applyFont="1" applyFill="1" applyBorder="1" applyAlignment="1">
      <alignment horizontal="distributed" vertical="center"/>
      <protection/>
    </xf>
    <xf numFmtId="0" fontId="7" fillId="0" borderId="0" xfId="20" applyFont="1" applyFill="1" applyAlignment="1">
      <alignment horizontal="distributed"/>
      <protection/>
    </xf>
    <xf numFmtId="195" fontId="15" fillId="0" borderId="5" xfId="20" applyNumberFormat="1" applyFont="1" applyFill="1" applyBorder="1" applyAlignment="1">
      <alignment horizontal="right"/>
      <protection/>
    </xf>
    <xf numFmtId="197" fontId="7" fillId="0" borderId="9" xfId="20" applyNumberFormat="1" applyFont="1" applyFill="1" applyBorder="1" applyAlignment="1">
      <alignment horizontal="right"/>
      <protection/>
    </xf>
    <xf numFmtId="0" fontId="7" fillId="0" borderId="5" xfId="20" applyFont="1" applyFill="1" applyBorder="1" applyAlignment="1">
      <alignment horizontal="distributed"/>
      <protection/>
    </xf>
    <xf numFmtId="0" fontId="3" fillId="0" borderId="0" xfId="0" applyFont="1" applyFill="1" applyAlignment="1">
      <alignment/>
    </xf>
    <xf numFmtId="0" fontId="7" fillId="0" borderId="0" xfId="20" applyFont="1" applyFill="1" applyAlignment="1">
      <alignment horizontal="distributed" vertical="center"/>
      <protection/>
    </xf>
    <xf numFmtId="195" fontId="15" fillId="0" borderId="5" xfId="20" applyNumberFormat="1" applyFont="1" applyFill="1" applyBorder="1" applyAlignment="1">
      <alignment horizontal="right" vertical="center"/>
      <protection/>
    </xf>
    <xf numFmtId="197" fontId="7" fillId="0" borderId="9" xfId="20" applyNumberFormat="1" applyFont="1" applyFill="1" applyBorder="1" applyAlignment="1">
      <alignment horizontal="right" vertical="center"/>
      <protection/>
    </xf>
    <xf numFmtId="0" fontId="7" fillId="0" borderId="5" xfId="20" applyFont="1" applyFill="1" applyBorder="1" applyAlignment="1">
      <alignment horizontal="distributed" vertical="center"/>
      <protection/>
    </xf>
    <xf numFmtId="197" fontId="9" fillId="0" borderId="9" xfId="20" applyNumberFormat="1" applyFont="1" applyFill="1" applyBorder="1" applyAlignment="1">
      <alignment horizontal="right" vertical="center"/>
      <protection/>
    </xf>
    <xf numFmtId="0" fontId="9" fillId="0" borderId="5" xfId="20" applyFont="1" applyFill="1" applyBorder="1" applyAlignment="1">
      <alignment horizontal="distributed" vertical="center"/>
      <protection/>
    </xf>
    <xf numFmtId="0" fontId="7" fillId="0" borderId="10" xfId="20" applyFont="1" applyFill="1" applyBorder="1" applyAlignment="1">
      <alignment horizontal="distributed" vertical="center"/>
      <protection/>
    </xf>
    <xf numFmtId="195" fontId="15" fillId="0" borderId="2" xfId="20" applyNumberFormat="1" applyFont="1" applyFill="1" applyBorder="1" applyAlignment="1">
      <alignment horizontal="right" vertical="center"/>
      <protection/>
    </xf>
    <xf numFmtId="196" fontId="7" fillId="0" borderId="10" xfId="20" applyNumberFormat="1" applyFont="1" applyFill="1" applyBorder="1" applyAlignment="1">
      <alignment horizontal="right" vertical="center"/>
      <protection/>
    </xf>
    <xf numFmtId="197" fontId="7" fillId="0" borderId="11" xfId="20" applyNumberFormat="1" applyFont="1" applyFill="1" applyBorder="1" applyAlignment="1">
      <alignment horizontal="right" vertical="center"/>
      <protection/>
    </xf>
    <xf numFmtId="0" fontId="7" fillId="0" borderId="2" xfId="20" applyFont="1" applyFill="1" applyBorder="1" applyAlignment="1">
      <alignment horizontal="distributed" vertical="center"/>
      <protection/>
    </xf>
    <xf numFmtId="0" fontId="3" fillId="0" borderId="0" xfId="20" applyFont="1" applyFill="1" applyAlignment="1">
      <alignment horizontal="right" vertical="center"/>
      <protection/>
    </xf>
    <xf numFmtId="0" fontId="3" fillId="0" borderId="0" xfId="20" applyFont="1" applyFill="1" applyAlignment="1">
      <alignment vertical="center"/>
      <protection/>
    </xf>
    <xf numFmtId="0" fontId="3" fillId="0" borderId="0" xfId="20" applyFont="1" applyFill="1" applyAlignment="1">
      <alignment horizontal="center" vertical="center"/>
      <protection/>
    </xf>
    <xf numFmtId="0" fontId="3" fillId="0" borderId="0" xfId="20" applyFont="1" applyFill="1" applyAlignment="1">
      <alignment horizontal="left" vertical="center"/>
      <protection/>
    </xf>
    <xf numFmtId="0" fontId="7" fillId="0" borderId="15" xfId="20" applyFont="1" applyFill="1" applyBorder="1" applyAlignment="1">
      <alignment horizontal="center" vertical="center"/>
      <protection/>
    </xf>
    <xf numFmtId="0" fontId="7" fillId="0" borderId="19" xfId="20" applyFont="1" applyFill="1" applyBorder="1" applyAlignment="1">
      <alignment horizontal="center" vertical="center"/>
      <protection/>
    </xf>
    <xf numFmtId="0" fontId="7" fillId="0" borderId="10" xfId="20" applyFont="1" applyFill="1" applyBorder="1" applyAlignment="1">
      <alignment horizontal="center" vertical="center"/>
      <protection/>
    </xf>
    <xf numFmtId="189" fontId="9" fillId="0" borderId="0" xfId="20" applyNumberFormat="1" applyFont="1" applyFill="1" applyBorder="1" applyAlignment="1">
      <alignment horizontal="right" vertical="center"/>
      <protection/>
    </xf>
    <xf numFmtId="189" fontId="7" fillId="0" borderId="0" xfId="20" applyNumberFormat="1" applyFont="1" applyFill="1" applyBorder="1" applyAlignment="1">
      <alignment horizontal="right"/>
      <protection/>
    </xf>
    <xf numFmtId="189" fontId="7" fillId="0" borderId="0" xfId="20" applyNumberFormat="1" applyFont="1" applyFill="1" applyBorder="1" applyAlignment="1">
      <alignment horizontal="right" vertical="center"/>
      <protection/>
    </xf>
    <xf numFmtId="202" fontId="7" fillId="0" borderId="0" xfId="20" applyNumberFormat="1" applyFont="1" applyFill="1" applyBorder="1" applyAlignment="1">
      <alignment horizontal="right" vertical="center"/>
      <protection/>
    </xf>
    <xf numFmtId="195" fontId="16" fillId="0" borderId="5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187" fontId="3" fillId="0" borderId="0" xfId="0" applyNumberFormat="1" applyFont="1" applyFill="1" applyAlignment="1">
      <alignment vertical="center"/>
    </xf>
    <xf numFmtId="0" fontId="3" fillId="0" borderId="1" xfId="20" applyFont="1" applyFill="1" applyBorder="1" applyAlignment="1">
      <alignment vertical="center"/>
      <protection/>
    </xf>
    <xf numFmtId="0" fontId="7" fillId="0" borderId="14" xfId="20" applyFont="1" applyFill="1" applyBorder="1" applyAlignment="1">
      <alignment horizontal="center" vertical="center"/>
      <protection/>
    </xf>
    <xf numFmtId="0" fontId="7" fillId="0" borderId="13" xfId="20" applyFont="1" applyFill="1" applyBorder="1" applyAlignment="1">
      <alignment horizontal="center" vertical="center"/>
      <protection/>
    </xf>
    <xf numFmtId="0" fontId="7" fillId="0" borderId="16" xfId="20" applyFont="1" applyFill="1" applyBorder="1" applyAlignment="1">
      <alignment horizontal="center" vertical="center"/>
      <protection/>
    </xf>
    <xf numFmtId="196" fontId="15" fillId="0" borderId="0" xfId="20" applyNumberFormat="1" applyFont="1" applyFill="1" applyBorder="1" applyAlignment="1">
      <alignment horizontal="right"/>
      <protection/>
    </xf>
    <xf numFmtId="196" fontId="15" fillId="0" borderId="0" xfId="20" applyNumberFormat="1" applyFont="1" applyFill="1" applyBorder="1" applyAlignment="1">
      <alignment horizontal="right" vertical="center"/>
      <protection/>
    </xf>
    <xf numFmtId="202" fontId="15" fillId="0" borderId="0" xfId="20" applyNumberFormat="1" applyFont="1" applyFill="1" applyBorder="1" applyAlignment="1">
      <alignment horizontal="right" vertical="center"/>
      <protection/>
    </xf>
    <xf numFmtId="196" fontId="16" fillId="0" borderId="0" xfId="20" applyNumberFormat="1" applyFont="1" applyFill="1" applyBorder="1" applyAlignment="1">
      <alignment horizontal="right" vertical="center"/>
      <protection/>
    </xf>
    <xf numFmtId="196" fontId="15" fillId="0" borderId="10" xfId="20" applyNumberFormat="1" applyFont="1" applyFill="1" applyBorder="1" applyAlignment="1">
      <alignment horizontal="right" vertical="center"/>
      <protection/>
    </xf>
    <xf numFmtId="0" fontId="7" fillId="0" borderId="14" xfId="20" applyFont="1" applyFill="1" applyBorder="1" applyAlignment="1">
      <alignment horizontal="center" vertical="center" wrapText="1"/>
      <protection/>
    </xf>
    <xf numFmtId="0" fontId="7" fillId="0" borderId="17" xfId="20" applyFont="1" applyFill="1" applyBorder="1" applyAlignment="1">
      <alignment horizontal="center" vertical="center"/>
      <protection/>
    </xf>
    <xf numFmtId="0" fontId="12" fillId="0" borderId="0" xfId="20" applyFont="1" applyFill="1" applyAlignment="1">
      <alignment horizontal="right" vertical="center"/>
      <protection/>
    </xf>
    <xf numFmtId="0" fontId="7" fillId="0" borderId="21" xfId="20" applyFont="1" applyFill="1" applyBorder="1" applyAlignment="1">
      <alignment horizontal="center" vertical="center" wrapText="1"/>
      <protection/>
    </xf>
    <xf numFmtId="0" fontId="7" fillId="0" borderId="5" xfId="20" applyFont="1" applyFill="1" applyBorder="1" applyAlignment="1">
      <alignment horizontal="center" vertical="center" wrapText="1"/>
      <protection/>
    </xf>
    <xf numFmtId="0" fontId="7" fillId="0" borderId="0" xfId="20" applyFont="1" applyFill="1" applyBorder="1" applyAlignment="1">
      <alignment horizontal="center" vertical="center" wrapText="1"/>
      <protection/>
    </xf>
    <xf numFmtId="0" fontId="7" fillId="0" borderId="22" xfId="20" applyFont="1" applyFill="1" applyBorder="1" applyAlignment="1">
      <alignment horizontal="center" vertical="center" wrapText="1"/>
      <protection/>
    </xf>
    <xf numFmtId="0" fontId="7" fillId="0" borderId="18" xfId="20" applyFont="1" applyFill="1" applyBorder="1" applyAlignment="1">
      <alignment horizontal="center" vertical="center" wrapText="1"/>
      <protection/>
    </xf>
    <xf numFmtId="0" fontId="7" fillId="0" borderId="17" xfId="20" applyFont="1" applyFill="1" applyBorder="1" applyAlignment="1">
      <alignment horizontal="center" vertical="center" shrinkToFit="1"/>
      <protection/>
    </xf>
    <xf numFmtId="0" fontId="7" fillId="0" borderId="7" xfId="20" applyFont="1" applyFill="1" applyBorder="1" applyAlignment="1">
      <alignment horizontal="center" vertical="center" shrinkToFit="1"/>
      <protection/>
    </xf>
    <xf numFmtId="0" fontId="7" fillId="0" borderId="5" xfId="20" applyFont="1" applyFill="1" applyBorder="1" applyAlignment="1">
      <alignment horizontal="center" vertical="center"/>
      <protection/>
    </xf>
    <xf numFmtId="0" fontId="7" fillId="0" borderId="9" xfId="20" applyFont="1" applyFill="1" applyBorder="1" applyAlignment="1">
      <alignment horizontal="center" vertical="center"/>
      <protection/>
    </xf>
    <xf numFmtId="0" fontId="7" fillId="0" borderId="0" xfId="20" applyFont="1" applyFill="1" applyBorder="1" applyAlignment="1">
      <alignment horizontal="center" vertical="center"/>
      <protection/>
    </xf>
    <xf numFmtId="0" fontId="7" fillId="0" borderId="10" xfId="20" applyFont="1" applyFill="1" applyBorder="1" applyAlignment="1">
      <alignment horizontal="center" vertical="center"/>
      <protection/>
    </xf>
    <xf numFmtId="0" fontId="7" fillId="0" borderId="11" xfId="20" applyFont="1" applyFill="1" applyBorder="1" applyAlignment="1">
      <alignment horizontal="center" vertical="center"/>
      <protection/>
    </xf>
    <xf numFmtId="0" fontId="7" fillId="0" borderId="3" xfId="20" applyFont="1" applyFill="1" applyBorder="1" applyAlignment="1">
      <alignment horizontal="center" vertical="center" wrapText="1"/>
      <protection/>
    </xf>
    <xf numFmtId="0" fontId="7" fillId="0" borderId="7" xfId="20" applyFont="1" applyFill="1" applyBorder="1" applyAlignment="1">
      <alignment horizontal="center" vertical="center" wrapText="1"/>
      <protection/>
    </xf>
    <xf numFmtId="0" fontId="7" fillId="0" borderId="18" xfId="20" applyFont="1" applyFill="1" applyBorder="1" applyAlignment="1">
      <alignment horizontal="center" vertical="center"/>
      <protection/>
    </xf>
    <xf numFmtId="0" fontId="7" fillId="0" borderId="2" xfId="20" applyFont="1" applyFill="1" applyBorder="1" applyAlignment="1">
      <alignment horizontal="center" vertical="center" wrapText="1"/>
      <protection/>
    </xf>
    <xf numFmtId="0" fontId="7" fillId="0" borderId="7" xfId="20" applyFont="1" applyFill="1" applyBorder="1" applyAlignment="1">
      <alignment horizontal="center" vertical="center" textRotation="255"/>
      <protection/>
    </xf>
    <xf numFmtId="196" fontId="18" fillId="0" borderId="0" xfId="0" applyNumberFormat="1" applyFont="1" applyFill="1" applyAlignment="1">
      <alignment/>
    </xf>
    <xf numFmtId="187" fontId="9" fillId="0" borderId="0" xfId="0" applyNumberFormat="1" applyFont="1" applyFill="1" applyBorder="1" applyAlignment="1">
      <alignment/>
    </xf>
    <xf numFmtId="196" fontId="8" fillId="0" borderId="0" xfId="0" applyNumberFormat="1" applyFont="1" applyFill="1" applyAlignment="1">
      <alignment/>
    </xf>
    <xf numFmtId="187" fontId="7" fillId="0" borderId="0" xfId="0" applyNumberFormat="1" applyFont="1" applyFill="1" applyBorder="1" applyAlignment="1">
      <alignment/>
    </xf>
    <xf numFmtId="187" fontId="7" fillId="0" borderId="0" xfId="0" applyNumberFormat="1" applyFont="1" applyFill="1" applyBorder="1" applyAlignment="1">
      <alignment/>
    </xf>
    <xf numFmtId="0" fontId="7" fillId="0" borderId="0" xfId="20" applyFont="1" applyFill="1" applyBorder="1" applyAlignment="1">
      <alignment horizontal="distributed"/>
      <protection/>
    </xf>
    <xf numFmtId="196" fontId="8" fillId="0" borderId="10" xfId="0" applyNumberFormat="1" applyFont="1" applyFill="1" applyBorder="1" applyAlignment="1">
      <alignment/>
    </xf>
    <xf numFmtId="187" fontId="7" fillId="0" borderId="10" xfId="0" applyNumberFormat="1" applyFont="1" applyFill="1" applyBorder="1" applyAlignment="1">
      <alignment/>
    </xf>
    <xf numFmtId="58" fontId="5" fillId="0" borderId="0" xfId="20" applyNumberFormat="1" applyFont="1" applyFill="1" applyBorder="1" applyAlignment="1">
      <alignment horizontal="right" vertical="center"/>
      <protection/>
    </xf>
    <xf numFmtId="0" fontId="7" fillId="0" borderId="20" xfId="20" applyFont="1" applyFill="1" applyBorder="1" applyAlignment="1">
      <alignment horizontal="center" vertical="center"/>
      <protection/>
    </xf>
    <xf numFmtId="197" fontId="9" fillId="0" borderId="6" xfId="20" applyNumberFormat="1" applyFont="1" applyFill="1" applyBorder="1" applyAlignment="1">
      <alignment horizontal="right" vertical="center"/>
      <protection/>
    </xf>
    <xf numFmtId="198" fontId="9" fillId="0" borderId="6" xfId="20" applyNumberFormat="1" applyFont="1" applyFill="1" applyBorder="1" applyAlignment="1">
      <alignment horizontal="right" vertical="center"/>
      <protection/>
    </xf>
    <xf numFmtId="189" fontId="15" fillId="0" borderId="0" xfId="20" applyNumberFormat="1" applyFont="1" applyFill="1" applyBorder="1" applyAlignment="1">
      <alignment horizontal="right"/>
      <protection/>
    </xf>
    <xf numFmtId="197" fontId="7" fillId="0" borderId="0" xfId="20" applyNumberFormat="1" applyFont="1" applyFill="1" applyBorder="1" applyAlignment="1">
      <alignment horizontal="right"/>
      <protection/>
    </xf>
    <xf numFmtId="198" fontId="7" fillId="0" borderId="0" xfId="20" applyNumberFormat="1" applyFont="1" applyFill="1" applyBorder="1" applyAlignment="1">
      <alignment horizontal="right"/>
      <protection/>
    </xf>
    <xf numFmtId="189" fontId="15" fillId="0" borderId="0" xfId="20" applyNumberFormat="1" applyFont="1" applyFill="1" applyBorder="1" applyAlignment="1">
      <alignment horizontal="right" vertical="center"/>
      <protection/>
    </xf>
    <xf numFmtId="197" fontId="7" fillId="0" borderId="0" xfId="20" applyNumberFormat="1" applyFont="1" applyFill="1" applyBorder="1" applyAlignment="1">
      <alignment horizontal="right" vertical="center"/>
      <protection/>
    </xf>
    <xf numFmtId="198" fontId="7" fillId="0" borderId="0" xfId="20" applyNumberFormat="1" applyFont="1" applyFill="1" applyBorder="1" applyAlignment="1">
      <alignment horizontal="right" vertical="center"/>
      <protection/>
    </xf>
    <xf numFmtId="189" fontId="16" fillId="0" borderId="0" xfId="20" applyNumberFormat="1" applyFont="1" applyFill="1" applyBorder="1" applyAlignment="1">
      <alignment horizontal="right" vertical="center"/>
      <protection/>
    </xf>
    <xf numFmtId="197" fontId="9" fillId="0" borderId="0" xfId="20" applyNumberFormat="1" applyFont="1" applyFill="1" applyBorder="1" applyAlignment="1">
      <alignment horizontal="right" vertical="center"/>
      <protection/>
    </xf>
    <xf numFmtId="198" fontId="9" fillId="0" borderId="0" xfId="20" applyNumberFormat="1" applyFont="1" applyFill="1" applyBorder="1" applyAlignment="1">
      <alignment horizontal="right" vertical="center"/>
      <protection/>
    </xf>
    <xf numFmtId="197" fontId="7" fillId="0" borderId="10" xfId="20" applyNumberFormat="1" applyFont="1" applyFill="1" applyBorder="1" applyAlignment="1">
      <alignment horizontal="right" vertical="center"/>
      <protection/>
    </xf>
    <xf numFmtId="198" fontId="7" fillId="0" borderId="10" xfId="20" applyNumberFormat="1" applyFont="1" applyFill="1" applyBorder="1" applyAlignment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110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625" style="88" customWidth="1"/>
    <col min="2" max="2" width="5.125" style="88" customWidth="1"/>
    <col min="3" max="3" width="8.625" style="91" customWidth="1"/>
    <col min="4" max="4" width="5.125" style="88" customWidth="1"/>
    <col min="5" max="5" width="8.625" style="91" customWidth="1"/>
    <col min="6" max="6" width="5.125" style="88" customWidth="1"/>
    <col min="7" max="7" width="8.625" style="94" customWidth="1"/>
    <col min="8" max="8" width="5.125" style="95" customWidth="1"/>
    <col min="9" max="9" width="8.625" style="96" customWidth="1"/>
    <col min="10" max="10" width="5.125" style="95" customWidth="1"/>
    <col min="11" max="11" width="8.625" style="96" customWidth="1"/>
    <col min="12" max="12" width="5.125" style="95" customWidth="1"/>
    <col min="13" max="13" width="8.625" style="96" customWidth="1"/>
    <col min="14" max="16384" width="9.00390625" style="88" customWidth="1"/>
  </cols>
  <sheetData>
    <row r="1" spans="1:13" ht="17.25">
      <c r="A1" s="87" t="s">
        <v>55</v>
      </c>
      <c r="C1" s="89"/>
      <c r="D1" s="90" t="s">
        <v>4</v>
      </c>
      <c r="F1" s="92"/>
      <c r="G1" s="93"/>
      <c r="H1" s="92"/>
      <c r="I1" s="89"/>
      <c r="J1" s="92"/>
      <c r="K1" s="89"/>
      <c r="L1" s="92"/>
      <c r="M1" s="89"/>
    </row>
    <row r="2" ht="13.5">
      <c r="A2" s="87" t="s">
        <v>0</v>
      </c>
    </row>
    <row r="3" spans="1:13" ht="14.25" thickBot="1">
      <c r="A3" s="97"/>
      <c r="B3" s="97"/>
      <c r="C3" s="98"/>
      <c r="D3" s="97"/>
      <c r="E3" s="98"/>
      <c r="F3" s="97"/>
      <c r="G3" s="99"/>
      <c r="H3" s="100"/>
      <c r="I3" s="101"/>
      <c r="J3" s="100"/>
      <c r="K3" s="101"/>
      <c r="L3" s="100"/>
      <c r="M3" s="102" t="s">
        <v>196</v>
      </c>
    </row>
    <row r="4" spans="1:14" ht="15.75" customHeight="1">
      <c r="A4" s="103" t="s">
        <v>1</v>
      </c>
      <c r="B4" s="104" t="s">
        <v>183</v>
      </c>
      <c r="C4" s="105"/>
      <c r="D4" s="106" t="s">
        <v>170</v>
      </c>
      <c r="E4" s="105"/>
      <c r="F4" s="107" t="s">
        <v>5</v>
      </c>
      <c r="G4" s="108"/>
      <c r="H4" s="104" t="s">
        <v>169</v>
      </c>
      <c r="I4" s="109"/>
      <c r="J4" s="110"/>
      <c r="K4" s="111"/>
      <c r="L4" s="110"/>
      <c r="M4" s="111"/>
      <c r="N4" s="112"/>
    </row>
    <row r="5" spans="1:14" ht="15.75" customHeight="1">
      <c r="A5" s="113"/>
      <c r="B5" s="114"/>
      <c r="C5" s="115"/>
      <c r="D5" s="114"/>
      <c r="E5" s="115"/>
      <c r="F5" s="116" t="s">
        <v>60</v>
      </c>
      <c r="G5" s="117"/>
      <c r="H5" s="118"/>
      <c r="I5" s="119"/>
      <c r="J5" s="120" t="s">
        <v>6</v>
      </c>
      <c r="K5" s="121"/>
      <c r="L5" s="122" t="s">
        <v>7</v>
      </c>
      <c r="M5" s="123"/>
      <c r="N5" s="112"/>
    </row>
    <row r="6" spans="1:14" ht="33" customHeight="1">
      <c r="A6" s="124"/>
      <c r="B6" s="125" t="s">
        <v>2</v>
      </c>
      <c r="C6" s="126" t="s">
        <v>3</v>
      </c>
      <c r="D6" s="125" t="s">
        <v>2</v>
      </c>
      <c r="E6" s="126" t="s">
        <v>3</v>
      </c>
      <c r="F6" s="127" t="s">
        <v>2</v>
      </c>
      <c r="G6" s="128"/>
      <c r="H6" s="125" t="s">
        <v>2</v>
      </c>
      <c r="I6" s="126" t="s">
        <v>3</v>
      </c>
      <c r="J6" s="125" t="s">
        <v>2</v>
      </c>
      <c r="K6" s="126" t="s">
        <v>65</v>
      </c>
      <c r="L6" s="125" t="s">
        <v>2</v>
      </c>
      <c r="M6" s="129" t="s">
        <v>65</v>
      </c>
      <c r="N6" s="112"/>
    </row>
    <row r="7" spans="1:13" s="135" customFormat="1" ht="12" customHeight="1">
      <c r="A7" s="130" t="s">
        <v>8</v>
      </c>
      <c r="B7" s="131"/>
      <c r="C7" s="132">
        <v>0.9</v>
      </c>
      <c r="D7" s="133"/>
      <c r="E7" s="132">
        <v>8.9</v>
      </c>
      <c r="F7" s="133"/>
      <c r="G7" s="134">
        <v>1.29</v>
      </c>
      <c r="H7" s="133"/>
      <c r="I7" s="132">
        <v>8</v>
      </c>
      <c r="J7" s="133"/>
      <c r="K7" s="132">
        <v>3</v>
      </c>
      <c r="L7" s="133"/>
      <c r="M7" s="132">
        <v>1.7</v>
      </c>
    </row>
    <row r="8" spans="1:13" s="141" customFormat="1" ht="24" customHeight="1">
      <c r="A8" s="136" t="s">
        <v>9</v>
      </c>
      <c r="B8" s="137">
        <f aca="true" t="shared" si="0" ref="B8:B54">IF(C8="","",RANK(C8,C$8:C$54))</f>
        <v>26</v>
      </c>
      <c r="C8" s="138">
        <v>-0.2</v>
      </c>
      <c r="D8" s="139">
        <f aca="true" t="shared" si="1" ref="D8:D54">IF(E8="","",RANK(E8,E$8:E$54))</f>
        <v>44</v>
      </c>
      <c r="E8" s="138">
        <v>8</v>
      </c>
      <c r="F8" s="139">
        <f aca="true" t="shared" si="2" ref="F8:F54">IF(G8="","",RANK(G8,G$8:G$54))</f>
        <v>42</v>
      </c>
      <c r="G8" s="140">
        <v>1.2</v>
      </c>
      <c r="H8" s="139">
        <f aca="true" t="shared" si="3" ref="H8:H54">IF(I8="","",RANK(I8,I$8:I$54))</f>
        <v>32</v>
      </c>
      <c r="I8" s="138">
        <v>8.2</v>
      </c>
      <c r="J8" s="139">
        <f aca="true" t="shared" si="4" ref="J8:J54">IF(K8="","",RANK(K8,K$8:K$54))</f>
        <v>19</v>
      </c>
      <c r="K8" s="138">
        <v>3</v>
      </c>
      <c r="L8" s="139">
        <f aca="true" t="shared" si="5" ref="L8:L54">IF(M8="","",RANK(M8,M$8:M$54))</f>
        <v>22</v>
      </c>
      <c r="M8" s="138">
        <v>1.7</v>
      </c>
    </row>
    <row r="9" spans="1:13" ht="12" customHeight="1">
      <c r="A9" s="142" t="s">
        <v>10</v>
      </c>
      <c r="B9" s="143">
        <f t="shared" si="0"/>
        <v>39</v>
      </c>
      <c r="C9" s="144">
        <v>-1.6</v>
      </c>
      <c r="D9" s="145">
        <f t="shared" si="1"/>
        <v>44</v>
      </c>
      <c r="E9" s="144">
        <v>8</v>
      </c>
      <c r="F9" s="145">
        <f t="shared" si="2"/>
        <v>26</v>
      </c>
      <c r="G9" s="146">
        <v>1.35</v>
      </c>
      <c r="H9" s="145">
        <f t="shared" si="3"/>
        <v>12</v>
      </c>
      <c r="I9" s="144">
        <v>9.6</v>
      </c>
      <c r="J9" s="145">
        <f t="shared" si="4"/>
        <v>2</v>
      </c>
      <c r="K9" s="144">
        <v>3.8</v>
      </c>
      <c r="L9" s="145">
        <f t="shared" si="5"/>
        <v>1</v>
      </c>
      <c r="M9" s="144">
        <v>2.6</v>
      </c>
    </row>
    <row r="10" spans="1:13" ht="12" customHeight="1">
      <c r="A10" s="142" t="s">
        <v>11</v>
      </c>
      <c r="B10" s="143">
        <f t="shared" si="0"/>
        <v>39</v>
      </c>
      <c r="C10" s="144">
        <v>-1.6</v>
      </c>
      <c r="D10" s="145">
        <f t="shared" si="1"/>
        <v>38</v>
      </c>
      <c r="E10" s="144">
        <v>8.1</v>
      </c>
      <c r="F10" s="145">
        <f t="shared" si="2"/>
        <v>11</v>
      </c>
      <c r="G10" s="146">
        <v>1.45</v>
      </c>
      <c r="H10" s="145">
        <f t="shared" si="3"/>
        <v>11</v>
      </c>
      <c r="I10" s="144">
        <v>9.7</v>
      </c>
      <c r="J10" s="145">
        <f t="shared" si="4"/>
        <v>25</v>
      </c>
      <c r="K10" s="144">
        <v>2.9</v>
      </c>
      <c r="L10" s="145">
        <f t="shared" si="5"/>
        <v>47</v>
      </c>
      <c r="M10" s="144">
        <v>0.6</v>
      </c>
    </row>
    <row r="11" spans="1:13" ht="12" customHeight="1">
      <c r="A11" s="142" t="s">
        <v>12</v>
      </c>
      <c r="B11" s="143">
        <f t="shared" si="0"/>
        <v>9</v>
      </c>
      <c r="C11" s="144">
        <v>1.1</v>
      </c>
      <c r="D11" s="145">
        <f t="shared" si="1"/>
        <v>25</v>
      </c>
      <c r="E11" s="144">
        <v>8.8</v>
      </c>
      <c r="F11" s="145">
        <f t="shared" si="2"/>
        <v>37</v>
      </c>
      <c r="G11" s="146">
        <v>1.27</v>
      </c>
      <c r="H11" s="145">
        <f t="shared" si="3"/>
        <v>38</v>
      </c>
      <c r="I11" s="144">
        <v>7.7</v>
      </c>
      <c r="J11" s="145">
        <f t="shared" si="4"/>
        <v>14</v>
      </c>
      <c r="K11" s="144">
        <v>3.3</v>
      </c>
      <c r="L11" s="145">
        <f t="shared" si="5"/>
        <v>16</v>
      </c>
      <c r="M11" s="144">
        <v>1.8</v>
      </c>
    </row>
    <row r="12" spans="1:13" ht="12" customHeight="1">
      <c r="A12" s="142" t="s">
        <v>13</v>
      </c>
      <c r="B12" s="143">
        <f t="shared" si="0"/>
        <v>47</v>
      </c>
      <c r="C12" s="144">
        <v>-3.9</v>
      </c>
      <c r="D12" s="145">
        <f t="shared" si="1"/>
        <v>47</v>
      </c>
      <c r="E12" s="144">
        <v>6.9</v>
      </c>
      <c r="F12" s="145">
        <f t="shared" si="2"/>
        <v>36</v>
      </c>
      <c r="G12" s="146">
        <v>1.31</v>
      </c>
      <c r="H12" s="145">
        <f t="shared" si="3"/>
        <v>1</v>
      </c>
      <c r="I12" s="144">
        <v>10.8</v>
      </c>
      <c r="J12" s="145">
        <f t="shared" si="4"/>
        <v>1</v>
      </c>
      <c r="K12" s="144">
        <v>4</v>
      </c>
      <c r="L12" s="145">
        <f t="shared" si="5"/>
        <v>4</v>
      </c>
      <c r="M12" s="144">
        <v>2.1</v>
      </c>
    </row>
    <row r="13" spans="1:13" s="141" customFormat="1" ht="24" customHeight="1">
      <c r="A13" s="136" t="s">
        <v>14</v>
      </c>
      <c r="B13" s="137">
        <f t="shared" si="0"/>
        <v>42</v>
      </c>
      <c r="C13" s="138">
        <v>-1.9</v>
      </c>
      <c r="D13" s="139">
        <f t="shared" si="1"/>
        <v>36</v>
      </c>
      <c r="E13" s="138">
        <v>8.2</v>
      </c>
      <c r="F13" s="139">
        <f t="shared" si="2"/>
        <v>5</v>
      </c>
      <c r="G13" s="140">
        <v>1.49</v>
      </c>
      <c r="H13" s="139">
        <f t="shared" si="3"/>
        <v>6</v>
      </c>
      <c r="I13" s="138">
        <v>10.1</v>
      </c>
      <c r="J13" s="139">
        <f t="shared" si="4"/>
        <v>25</v>
      </c>
      <c r="K13" s="138">
        <v>2.9</v>
      </c>
      <c r="L13" s="139">
        <f t="shared" si="5"/>
        <v>25</v>
      </c>
      <c r="M13" s="138">
        <v>1.6</v>
      </c>
    </row>
    <row r="14" spans="1:13" ht="12" customHeight="1">
      <c r="A14" s="142" t="s">
        <v>15</v>
      </c>
      <c r="B14" s="143">
        <f t="shared" si="0"/>
        <v>28</v>
      </c>
      <c r="C14" s="144">
        <v>-0.4</v>
      </c>
      <c r="D14" s="145">
        <f t="shared" si="1"/>
        <v>18</v>
      </c>
      <c r="E14" s="144">
        <v>9</v>
      </c>
      <c r="F14" s="145">
        <f t="shared" si="2"/>
        <v>2</v>
      </c>
      <c r="G14" s="146">
        <v>1.54</v>
      </c>
      <c r="H14" s="145">
        <f t="shared" si="3"/>
        <v>19</v>
      </c>
      <c r="I14" s="144">
        <v>9.3</v>
      </c>
      <c r="J14" s="145">
        <f t="shared" si="4"/>
        <v>7</v>
      </c>
      <c r="K14" s="144">
        <v>3.5</v>
      </c>
      <c r="L14" s="145">
        <f t="shared" si="5"/>
        <v>33</v>
      </c>
      <c r="M14" s="144">
        <v>1.5</v>
      </c>
    </row>
    <row r="15" spans="1:13" ht="12" customHeight="1">
      <c r="A15" s="142" t="s">
        <v>16</v>
      </c>
      <c r="B15" s="143">
        <f t="shared" si="0"/>
        <v>19</v>
      </c>
      <c r="C15" s="144">
        <v>0.6</v>
      </c>
      <c r="D15" s="145">
        <f t="shared" si="1"/>
        <v>18</v>
      </c>
      <c r="E15" s="144">
        <v>9</v>
      </c>
      <c r="F15" s="145">
        <f t="shared" si="2"/>
        <v>29</v>
      </c>
      <c r="G15" s="146">
        <v>1.34</v>
      </c>
      <c r="H15" s="145">
        <f t="shared" si="3"/>
        <v>31</v>
      </c>
      <c r="I15" s="144">
        <v>8.3</v>
      </c>
      <c r="J15" s="145">
        <f t="shared" si="4"/>
        <v>25</v>
      </c>
      <c r="K15" s="144">
        <v>2.9</v>
      </c>
      <c r="L15" s="145">
        <f t="shared" si="5"/>
        <v>25</v>
      </c>
      <c r="M15" s="144">
        <v>1.6</v>
      </c>
    </row>
    <row r="16" spans="1:13" ht="12" customHeight="1">
      <c r="A16" s="142" t="s">
        <v>17</v>
      </c>
      <c r="B16" s="143">
        <f t="shared" si="0"/>
        <v>19</v>
      </c>
      <c r="C16" s="144">
        <v>0.6</v>
      </c>
      <c r="D16" s="145">
        <f t="shared" si="1"/>
        <v>12</v>
      </c>
      <c r="E16" s="144">
        <v>9.1</v>
      </c>
      <c r="F16" s="145">
        <f t="shared" si="2"/>
        <v>17</v>
      </c>
      <c r="G16" s="146">
        <v>1.38</v>
      </c>
      <c r="H16" s="145">
        <f t="shared" si="3"/>
        <v>28</v>
      </c>
      <c r="I16" s="144">
        <v>8.5</v>
      </c>
      <c r="J16" s="145">
        <f t="shared" si="4"/>
        <v>7</v>
      </c>
      <c r="K16" s="144">
        <v>3.5</v>
      </c>
      <c r="L16" s="145">
        <f t="shared" si="5"/>
        <v>3</v>
      </c>
      <c r="M16" s="144">
        <v>2.2</v>
      </c>
    </row>
    <row r="17" spans="1:13" ht="12" customHeight="1">
      <c r="A17" s="142" t="s">
        <v>18</v>
      </c>
      <c r="B17" s="143">
        <f t="shared" si="0"/>
        <v>15</v>
      </c>
      <c r="C17" s="144">
        <v>0.7</v>
      </c>
      <c r="D17" s="145">
        <f t="shared" si="1"/>
        <v>7</v>
      </c>
      <c r="E17" s="144">
        <v>9.2</v>
      </c>
      <c r="F17" s="145">
        <f t="shared" si="2"/>
        <v>17</v>
      </c>
      <c r="G17" s="146">
        <v>1.38</v>
      </c>
      <c r="H17" s="145">
        <f t="shared" si="3"/>
        <v>28</v>
      </c>
      <c r="I17" s="144">
        <v>8.5</v>
      </c>
      <c r="J17" s="145">
        <f t="shared" si="4"/>
        <v>3</v>
      </c>
      <c r="K17" s="144">
        <v>3.7</v>
      </c>
      <c r="L17" s="145">
        <f t="shared" si="5"/>
        <v>2</v>
      </c>
      <c r="M17" s="144">
        <v>2.4</v>
      </c>
    </row>
    <row r="18" spans="1:13" s="141" customFormat="1" ht="24" customHeight="1">
      <c r="A18" s="136" t="s">
        <v>19</v>
      </c>
      <c r="B18" s="137">
        <f t="shared" si="0"/>
        <v>5</v>
      </c>
      <c r="C18" s="138">
        <v>2.7</v>
      </c>
      <c r="D18" s="139">
        <f t="shared" si="1"/>
        <v>12</v>
      </c>
      <c r="E18" s="138">
        <v>9.1</v>
      </c>
      <c r="F18" s="139">
        <f t="shared" si="2"/>
        <v>40</v>
      </c>
      <c r="G18" s="140">
        <v>1.21</v>
      </c>
      <c r="H18" s="139">
        <f t="shared" si="3"/>
        <v>45</v>
      </c>
      <c r="I18" s="138">
        <v>6.4</v>
      </c>
      <c r="J18" s="139">
        <f t="shared" si="4"/>
        <v>32</v>
      </c>
      <c r="K18" s="138">
        <v>2.8</v>
      </c>
      <c r="L18" s="139">
        <f t="shared" si="5"/>
        <v>25</v>
      </c>
      <c r="M18" s="138">
        <v>1.6</v>
      </c>
    </row>
    <row r="19" spans="1:13" ht="12" customHeight="1">
      <c r="A19" s="142" t="s">
        <v>20</v>
      </c>
      <c r="B19" s="143">
        <f t="shared" si="0"/>
        <v>6</v>
      </c>
      <c r="C19" s="144">
        <v>2.1</v>
      </c>
      <c r="D19" s="145">
        <f t="shared" si="1"/>
        <v>24</v>
      </c>
      <c r="E19" s="144">
        <v>8.9</v>
      </c>
      <c r="F19" s="145">
        <f t="shared" si="2"/>
        <v>42</v>
      </c>
      <c r="G19" s="146">
        <v>1.2</v>
      </c>
      <c r="H19" s="145">
        <f t="shared" si="3"/>
        <v>44</v>
      </c>
      <c r="I19" s="144">
        <v>6.8</v>
      </c>
      <c r="J19" s="145">
        <f t="shared" si="4"/>
        <v>25</v>
      </c>
      <c r="K19" s="144">
        <v>2.9</v>
      </c>
      <c r="L19" s="145">
        <f t="shared" si="5"/>
        <v>25</v>
      </c>
      <c r="M19" s="144">
        <v>1.6</v>
      </c>
    </row>
    <row r="20" spans="1:13" ht="12" customHeight="1">
      <c r="A20" s="142" t="s">
        <v>21</v>
      </c>
      <c r="B20" s="143">
        <f t="shared" si="0"/>
        <v>12</v>
      </c>
      <c r="C20" s="144">
        <v>0.9</v>
      </c>
      <c r="D20" s="145">
        <f t="shared" si="1"/>
        <v>36</v>
      </c>
      <c r="E20" s="144">
        <v>8.2</v>
      </c>
      <c r="F20" s="145">
        <f t="shared" si="2"/>
        <v>47</v>
      </c>
      <c r="G20" s="146">
        <v>1</v>
      </c>
      <c r="H20" s="145">
        <f t="shared" si="3"/>
        <v>41</v>
      </c>
      <c r="I20" s="144">
        <v>7.3</v>
      </c>
      <c r="J20" s="145">
        <f t="shared" si="4"/>
        <v>19</v>
      </c>
      <c r="K20" s="144">
        <v>3</v>
      </c>
      <c r="L20" s="145">
        <f t="shared" si="5"/>
        <v>38</v>
      </c>
      <c r="M20" s="144">
        <v>1.4</v>
      </c>
    </row>
    <row r="21" spans="1:13" ht="12" customHeight="1">
      <c r="A21" s="142" t="s">
        <v>22</v>
      </c>
      <c r="B21" s="143">
        <f t="shared" si="0"/>
        <v>3</v>
      </c>
      <c r="C21" s="144">
        <v>3</v>
      </c>
      <c r="D21" s="145">
        <f t="shared" si="1"/>
        <v>4</v>
      </c>
      <c r="E21" s="144">
        <v>9.4</v>
      </c>
      <c r="F21" s="145">
        <f t="shared" si="2"/>
        <v>40</v>
      </c>
      <c r="G21" s="146">
        <v>1.21</v>
      </c>
      <c r="H21" s="145">
        <f t="shared" si="3"/>
        <v>45</v>
      </c>
      <c r="I21" s="144">
        <v>6.4</v>
      </c>
      <c r="J21" s="145">
        <f t="shared" si="4"/>
        <v>15</v>
      </c>
      <c r="K21" s="144">
        <v>3.2</v>
      </c>
      <c r="L21" s="145">
        <f t="shared" si="5"/>
        <v>16</v>
      </c>
      <c r="M21" s="144">
        <v>1.8</v>
      </c>
    </row>
    <row r="22" spans="1:13" ht="12" customHeight="1">
      <c r="A22" s="142" t="s">
        <v>23</v>
      </c>
      <c r="B22" s="143">
        <f t="shared" si="0"/>
        <v>37</v>
      </c>
      <c r="C22" s="144">
        <v>-1.4</v>
      </c>
      <c r="D22" s="145">
        <f t="shared" si="1"/>
        <v>38</v>
      </c>
      <c r="E22" s="144">
        <v>8.1</v>
      </c>
      <c r="F22" s="145">
        <f t="shared" si="2"/>
        <v>29</v>
      </c>
      <c r="G22" s="146">
        <v>1.34</v>
      </c>
      <c r="H22" s="145">
        <f t="shared" si="3"/>
        <v>13</v>
      </c>
      <c r="I22" s="144">
        <v>9.5</v>
      </c>
      <c r="J22" s="145">
        <f t="shared" si="4"/>
        <v>32</v>
      </c>
      <c r="K22" s="144">
        <v>2.8</v>
      </c>
      <c r="L22" s="145">
        <f t="shared" si="5"/>
        <v>22</v>
      </c>
      <c r="M22" s="144">
        <v>1.7</v>
      </c>
    </row>
    <row r="23" spans="1:13" s="141" customFormat="1" ht="24" customHeight="1">
      <c r="A23" s="136" t="s">
        <v>24</v>
      </c>
      <c r="B23" s="137">
        <f t="shared" si="0"/>
        <v>33</v>
      </c>
      <c r="C23" s="138">
        <v>-1</v>
      </c>
      <c r="D23" s="139">
        <f t="shared" si="1"/>
        <v>34</v>
      </c>
      <c r="E23" s="138">
        <v>8.4</v>
      </c>
      <c r="F23" s="139">
        <f t="shared" si="2"/>
        <v>26</v>
      </c>
      <c r="G23" s="140">
        <v>1.35</v>
      </c>
      <c r="H23" s="139">
        <f t="shared" si="3"/>
        <v>13</v>
      </c>
      <c r="I23" s="138">
        <v>9.5</v>
      </c>
      <c r="J23" s="139">
        <f t="shared" si="4"/>
        <v>17</v>
      </c>
      <c r="K23" s="138">
        <v>3.1</v>
      </c>
      <c r="L23" s="139">
        <f t="shared" si="5"/>
        <v>13</v>
      </c>
      <c r="M23" s="138">
        <v>1.9</v>
      </c>
    </row>
    <row r="24" spans="1:13" ht="12" customHeight="1">
      <c r="A24" s="142" t="s">
        <v>25</v>
      </c>
      <c r="B24" s="143">
        <f t="shared" si="0"/>
        <v>15</v>
      </c>
      <c r="C24" s="144">
        <v>0.7</v>
      </c>
      <c r="D24" s="145">
        <f t="shared" si="1"/>
        <v>6</v>
      </c>
      <c r="E24" s="144">
        <v>9.3</v>
      </c>
      <c r="F24" s="145">
        <f t="shared" si="2"/>
        <v>17</v>
      </c>
      <c r="G24" s="146">
        <v>1.38</v>
      </c>
      <c r="H24" s="145">
        <f t="shared" si="3"/>
        <v>27</v>
      </c>
      <c r="I24" s="144">
        <v>8.6</v>
      </c>
      <c r="J24" s="145">
        <f t="shared" si="4"/>
        <v>3</v>
      </c>
      <c r="K24" s="144">
        <v>3.7</v>
      </c>
      <c r="L24" s="145">
        <f t="shared" si="5"/>
        <v>9</v>
      </c>
      <c r="M24" s="144">
        <v>2</v>
      </c>
    </row>
    <row r="25" spans="1:13" ht="12" customHeight="1">
      <c r="A25" s="142" t="s">
        <v>26</v>
      </c>
      <c r="B25" s="143">
        <f t="shared" si="0"/>
        <v>22</v>
      </c>
      <c r="C25" s="144">
        <v>0.2</v>
      </c>
      <c r="D25" s="145">
        <f t="shared" si="1"/>
        <v>12</v>
      </c>
      <c r="E25" s="144">
        <v>9.1</v>
      </c>
      <c r="F25" s="145">
        <f t="shared" si="2"/>
        <v>10</v>
      </c>
      <c r="G25" s="146">
        <v>1.47</v>
      </c>
      <c r="H25" s="145">
        <f t="shared" si="3"/>
        <v>24</v>
      </c>
      <c r="I25" s="144">
        <v>8.9</v>
      </c>
      <c r="J25" s="145">
        <f t="shared" si="4"/>
        <v>12</v>
      </c>
      <c r="K25" s="144">
        <v>3.4</v>
      </c>
      <c r="L25" s="145">
        <f t="shared" si="5"/>
        <v>4</v>
      </c>
      <c r="M25" s="144">
        <v>2.1</v>
      </c>
    </row>
    <row r="26" spans="1:13" ht="12" customHeight="1">
      <c r="A26" s="142" t="s">
        <v>27</v>
      </c>
      <c r="B26" s="143">
        <f t="shared" si="0"/>
        <v>24</v>
      </c>
      <c r="C26" s="144">
        <v>0</v>
      </c>
      <c r="D26" s="145">
        <f t="shared" si="1"/>
        <v>25</v>
      </c>
      <c r="E26" s="144">
        <v>8.8</v>
      </c>
      <c r="F26" s="145">
        <f t="shared" si="2"/>
        <v>21</v>
      </c>
      <c r="G26" s="146">
        <v>1.37</v>
      </c>
      <c r="H26" s="145">
        <f t="shared" si="3"/>
        <v>25</v>
      </c>
      <c r="I26" s="144">
        <v>8.8</v>
      </c>
      <c r="J26" s="145">
        <f t="shared" si="4"/>
        <v>7</v>
      </c>
      <c r="K26" s="144">
        <v>3.5</v>
      </c>
      <c r="L26" s="145">
        <f t="shared" si="5"/>
        <v>13</v>
      </c>
      <c r="M26" s="144">
        <v>1.9</v>
      </c>
    </row>
    <row r="27" spans="1:13" ht="12" customHeight="1">
      <c r="A27" s="142" t="s">
        <v>28</v>
      </c>
      <c r="B27" s="143">
        <f t="shared" si="0"/>
        <v>24</v>
      </c>
      <c r="C27" s="144">
        <v>0</v>
      </c>
      <c r="D27" s="145">
        <f t="shared" si="1"/>
        <v>12</v>
      </c>
      <c r="E27" s="144">
        <v>9.1</v>
      </c>
      <c r="F27" s="145">
        <f t="shared" si="2"/>
        <v>13</v>
      </c>
      <c r="G27" s="146">
        <v>1.44</v>
      </c>
      <c r="H27" s="145">
        <f t="shared" si="3"/>
        <v>22</v>
      </c>
      <c r="I27" s="144">
        <v>9.1</v>
      </c>
      <c r="J27" s="145">
        <f t="shared" si="4"/>
        <v>43</v>
      </c>
      <c r="K27" s="144">
        <v>2.3</v>
      </c>
      <c r="L27" s="145">
        <f t="shared" si="5"/>
        <v>45</v>
      </c>
      <c r="M27" s="144">
        <v>1.1</v>
      </c>
    </row>
    <row r="28" spans="1:13" s="141" customFormat="1" ht="24" customHeight="1">
      <c r="A28" s="136" t="s">
        <v>29</v>
      </c>
      <c r="B28" s="137">
        <f t="shared" si="0"/>
        <v>11</v>
      </c>
      <c r="C28" s="138">
        <v>1</v>
      </c>
      <c r="D28" s="139">
        <f t="shared" si="1"/>
        <v>7</v>
      </c>
      <c r="E28" s="138">
        <v>9.2</v>
      </c>
      <c r="F28" s="139">
        <f t="shared" si="2"/>
        <v>23</v>
      </c>
      <c r="G28" s="140">
        <v>1.36</v>
      </c>
      <c r="H28" s="139">
        <f t="shared" si="3"/>
        <v>32</v>
      </c>
      <c r="I28" s="138">
        <v>8.2</v>
      </c>
      <c r="J28" s="139">
        <f t="shared" si="4"/>
        <v>36</v>
      </c>
      <c r="K28" s="138">
        <v>2.7</v>
      </c>
      <c r="L28" s="139">
        <f t="shared" si="5"/>
        <v>33</v>
      </c>
      <c r="M28" s="138">
        <v>1.5</v>
      </c>
    </row>
    <row r="29" spans="1:13" ht="12" customHeight="1">
      <c r="A29" s="142" t="s">
        <v>30</v>
      </c>
      <c r="B29" s="143">
        <f t="shared" si="0"/>
        <v>9</v>
      </c>
      <c r="C29" s="144">
        <v>1.1</v>
      </c>
      <c r="D29" s="145">
        <f t="shared" si="1"/>
        <v>12</v>
      </c>
      <c r="E29" s="144">
        <v>9.1</v>
      </c>
      <c r="F29" s="145">
        <f t="shared" si="2"/>
        <v>21</v>
      </c>
      <c r="G29" s="146">
        <v>1.37</v>
      </c>
      <c r="H29" s="145">
        <f t="shared" si="3"/>
        <v>35</v>
      </c>
      <c r="I29" s="144">
        <v>8</v>
      </c>
      <c r="J29" s="145">
        <f t="shared" si="4"/>
        <v>15</v>
      </c>
      <c r="K29" s="144">
        <v>3.2</v>
      </c>
      <c r="L29" s="145">
        <f t="shared" si="5"/>
        <v>9</v>
      </c>
      <c r="M29" s="144">
        <v>2</v>
      </c>
    </row>
    <row r="30" spans="1:13" ht="12" customHeight="1">
      <c r="A30" s="142" t="s">
        <v>31</v>
      </c>
      <c r="B30" s="143">
        <f t="shared" si="0"/>
        <v>2</v>
      </c>
      <c r="C30" s="144">
        <v>3.1</v>
      </c>
      <c r="D30" s="145">
        <f t="shared" si="1"/>
        <v>3</v>
      </c>
      <c r="E30" s="144">
        <v>10</v>
      </c>
      <c r="F30" s="145">
        <f t="shared" si="2"/>
        <v>33</v>
      </c>
      <c r="G30" s="146">
        <v>1.32</v>
      </c>
      <c r="H30" s="145">
        <f t="shared" si="3"/>
        <v>43</v>
      </c>
      <c r="I30" s="144">
        <v>6.9</v>
      </c>
      <c r="J30" s="145">
        <f t="shared" si="4"/>
        <v>36</v>
      </c>
      <c r="K30" s="144">
        <v>2.7</v>
      </c>
      <c r="L30" s="145">
        <f t="shared" si="5"/>
        <v>38</v>
      </c>
      <c r="M30" s="144">
        <v>1.4</v>
      </c>
    </row>
    <row r="31" spans="1:13" ht="12" customHeight="1">
      <c r="A31" s="142" t="s">
        <v>32</v>
      </c>
      <c r="B31" s="143">
        <f t="shared" si="0"/>
        <v>21</v>
      </c>
      <c r="C31" s="144">
        <v>0.3</v>
      </c>
      <c r="D31" s="145">
        <f t="shared" si="1"/>
        <v>18</v>
      </c>
      <c r="E31" s="144">
        <v>9</v>
      </c>
      <c r="F31" s="145">
        <f t="shared" si="2"/>
        <v>26</v>
      </c>
      <c r="G31" s="146">
        <v>1.35</v>
      </c>
      <c r="H31" s="145">
        <f t="shared" si="3"/>
        <v>26</v>
      </c>
      <c r="I31" s="144">
        <v>8.7</v>
      </c>
      <c r="J31" s="145">
        <f t="shared" si="4"/>
        <v>19</v>
      </c>
      <c r="K31" s="144">
        <v>3</v>
      </c>
      <c r="L31" s="145">
        <f t="shared" si="5"/>
        <v>25</v>
      </c>
      <c r="M31" s="144">
        <v>1.6</v>
      </c>
    </row>
    <row r="32" spans="1:13" ht="12" customHeight="1">
      <c r="A32" s="142" t="s">
        <v>33</v>
      </c>
      <c r="B32" s="143">
        <f t="shared" si="0"/>
        <v>4</v>
      </c>
      <c r="C32" s="144">
        <v>2.8</v>
      </c>
      <c r="D32" s="145">
        <f t="shared" si="1"/>
        <v>2</v>
      </c>
      <c r="E32" s="144">
        <v>10.1</v>
      </c>
      <c r="F32" s="145">
        <f t="shared" si="2"/>
        <v>15</v>
      </c>
      <c r="G32" s="146">
        <v>1.41</v>
      </c>
      <c r="H32" s="145">
        <f t="shared" si="3"/>
        <v>41</v>
      </c>
      <c r="I32" s="144">
        <v>7.3</v>
      </c>
      <c r="J32" s="145">
        <f t="shared" si="4"/>
        <v>3</v>
      </c>
      <c r="K32" s="144">
        <v>3.7</v>
      </c>
      <c r="L32" s="145">
        <f t="shared" si="5"/>
        <v>4</v>
      </c>
      <c r="M32" s="144">
        <v>2.1</v>
      </c>
    </row>
    <row r="33" spans="1:13" s="141" customFormat="1" ht="24" customHeight="1">
      <c r="A33" s="136" t="s">
        <v>34</v>
      </c>
      <c r="B33" s="137">
        <f t="shared" si="0"/>
        <v>15</v>
      </c>
      <c r="C33" s="138">
        <v>0.7</v>
      </c>
      <c r="D33" s="139">
        <f t="shared" si="1"/>
        <v>31</v>
      </c>
      <c r="E33" s="138">
        <v>8.6</v>
      </c>
      <c r="F33" s="139">
        <f t="shared" si="2"/>
        <v>46</v>
      </c>
      <c r="G33" s="140">
        <v>1.15</v>
      </c>
      <c r="H33" s="139">
        <f t="shared" si="3"/>
        <v>35</v>
      </c>
      <c r="I33" s="138">
        <v>8</v>
      </c>
      <c r="J33" s="139">
        <f t="shared" si="4"/>
        <v>19</v>
      </c>
      <c r="K33" s="138">
        <v>3</v>
      </c>
      <c r="L33" s="139">
        <f t="shared" si="5"/>
        <v>16</v>
      </c>
      <c r="M33" s="138">
        <v>1.8</v>
      </c>
    </row>
    <row r="34" spans="1:13" ht="12" customHeight="1">
      <c r="A34" s="142" t="s">
        <v>35</v>
      </c>
      <c r="B34" s="143">
        <f t="shared" si="0"/>
        <v>7</v>
      </c>
      <c r="C34" s="144">
        <v>1.9</v>
      </c>
      <c r="D34" s="145">
        <f t="shared" si="1"/>
        <v>4</v>
      </c>
      <c r="E34" s="144">
        <v>9.4</v>
      </c>
      <c r="F34" s="145">
        <f t="shared" si="2"/>
        <v>42</v>
      </c>
      <c r="G34" s="146">
        <v>1.2</v>
      </c>
      <c r="H34" s="145">
        <f t="shared" si="3"/>
        <v>40</v>
      </c>
      <c r="I34" s="144">
        <v>7.4</v>
      </c>
      <c r="J34" s="145">
        <f t="shared" si="4"/>
        <v>36</v>
      </c>
      <c r="K34" s="144">
        <v>2.7</v>
      </c>
      <c r="L34" s="145">
        <f t="shared" si="5"/>
        <v>25</v>
      </c>
      <c r="M34" s="144">
        <v>1.6</v>
      </c>
    </row>
    <row r="35" spans="1:13" ht="12" customHeight="1">
      <c r="A35" s="142" t="s">
        <v>36</v>
      </c>
      <c r="B35" s="143">
        <f t="shared" si="0"/>
        <v>8</v>
      </c>
      <c r="C35" s="144">
        <v>1.2</v>
      </c>
      <c r="D35" s="145">
        <f t="shared" si="1"/>
        <v>7</v>
      </c>
      <c r="E35" s="144">
        <v>9.2</v>
      </c>
      <c r="F35" s="145">
        <f t="shared" si="2"/>
        <v>38</v>
      </c>
      <c r="G35" s="146">
        <v>1.25</v>
      </c>
      <c r="H35" s="145">
        <f t="shared" si="3"/>
        <v>35</v>
      </c>
      <c r="I35" s="144">
        <v>8</v>
      </c>
      <c r="J35" s="145">
        <f t="shared" si="4"/>
        <v>25</v>
      </c>
      <c r="K35" s="144">
        <v>2.9</v>
      </c>
      <c r="L35" s="145">
        <f t="shared" si="5"/>
        <v>22</v>
      </c>
      <c r="M35" s="144">
        <v>1.7</v>
      </c>
    </row>
    <row r="36" spans="1:13" ht="12" customHeight="1">
      <c r="A36" s="142" t="s">
        <v>37</v>
      </c>
      <c r="B36" s="143">
        <f t="shared" si="0"/>
        <v>12</v>
      </c>
      <c r="C36" s="144">
        <v>0.9</v>
      </c>
      <c r="D36" s="145">
        <f t="shared" si="1"/>
        <v>32</v>
      </c>
      <c r="E36" s="144">
        <v>8.5</v>
      </c>
      <c r="F36" s="145">
        <f t="shared" si="2"/>
        <v>45</v>
      </c>
      <c r="G36" s="146">
        <v>1.18</v>
      </c>
      <c r="H36" s="145">
        <f t="shared" si="3"/>
        <v>39</v>
      </c>
      <c r="I36" s="144">
        <v>7.6</v>
      </c>
      <c r="J36" s="145">
        <f t="shared" si="4"/>
        <v>36</v>
      </c>
      <c r="K36" s="144">
        <v>2.7</v>
      </c>
      <c r="L36" s="145">
        <f t="shared" si="5"/>
        <v>43</v>
      </c>
      <c r="M36" s="144">
        <v>1.2</v>
      </c>
    </row>
    <row r="37" spans="1:13" ht="12" customHeight="1">
      <c r="A37" s="142" t="s">
        <v>38</v>
      </c>
      <c r="B37" s="143">
        <f t="shared" si="0"/>
        <v>41</v>
      </c>
      <c r="C37" s="144">
        <v>-1.8</v>
      </c>
      <c r="D37" s="145">
        <f t="shared" si="1"/>
        <v>38</v>
      </c>
      <c r="E37" s="144">
        <v>8.1</v>
      </c>
      <c r="F37" s="145">
        <f t="shared" si="2"/>
        <v>33</v>
      </c>
      <c r="G37" s="146">
        <v>1.32</v>
      </c>
      <c r="H37" s="145">
        <f t="shared" si="3"/>
        <v>10</v>
      </c>
      <c r="I37" s="144">
        <v>9.9</v>
      </c>
      <c r="J37" s="145">
        <f t="shared" si="4"/>
        <v>19</v>
      </c>
      <c r="K37" s="144">
        <v>3</v>
      </c>
      <c r="L37" s="145">
        <f t="shared" si="5"/>
        <v>16</v>
      </c>
      <c r="M37" s="144">
        <v>1.8</v>
      </c>
    </row>
    <row r="38" spans="1:13" s="141" customFormat="1" ht="24" customHeight="1">
      <c r="A38" s="136" t="s">
        <v>39</v>
      </c>
      <c r="B38" s="137">
        <f t="shared" si="0"/>
        <v>33</v>
      </c>
      <c r="C38" s="138">
        <v>-1</v>
      </c>
      <c r="D38" s="139">
        <f t="shared" si="1"/>
        <v>18</v>
      </c>
      <c r="E38" s="138">
        <v>9</v>
      </c>
      <c r="F38" s="139">
        <f t="shared" si="2"/>
        <v>3</v>
      </c>
      <c r="G38" s="140">
        <v>1.53</v>
      </c>
      <c r="H38" s="139">
        <f t="shared" si="3"/>
        <v>8</v>
      </c>
      <c r="I38" s="138">
        <v>10</v>
      </c>
      <c r="J38" s="139">
        <f t="shared" si="4"/>
        <v>47</v>
      </c>
      <c r="K38" s="138">
        <v>2</v>
      </c>
      <c r="L38" s="139">
        <f t="shared" si="5"/>
        <v>42</v>
      </c>
      <c r="M38" s="138">
        <v>1.3</v>
      </c>
    </row>
    <row r="39" spans="1:13" ht="12" customHeight="1">
      <c r="A39" s="142" t="s">
        <v>40</v>
      </c>
      <c r="B39" s="143">
        <f t="shared" si="0"/>
        <v>45</v>
      </c>
      <c r="C39" s="144">
        <v>-2.6</v>
      </c>
      <c r="D39" s="145">
        <f t="shared" si="1"/>
        <v>38</v>
      </c>
      <c r="E39" s="144">
        <v>8.1</v>
      </c>
      <c r="F39" s="145">
        <f t="shared" si="2"/>
        <v>8</v>
      </c>
      <c r="G39" s="146">
        <v>1.48</v>
      </c>
      <c r="H39" s="145">
        <f t="shared" si="3"/>
        <v>2</v>
      </c>
      <c r="I39" s="144">
        <v>10.7</v>
      </c>
      <c r="J39" s="145">
        <f t="shared" si="4"/>
        <v>12</v>
      </c>
      <c r="K39" s="144">
        <v>3.4</v>
      </c>
      <c r="L39" s="145">
        <f t="shared" si="5"/>
        <v>33</v>
      </c>
      <c r="M39" s="144">
        <v>1.5</v>
      </c>
    </row>
    <row r="40" spans="1:13" ht="12" customHeight="1">
      <c r="A40" s="142" t="s">
        <v>41</v>
      </c>
      <c r="B40" s="143">
        <f t="shared" si="0"/>
        <v>23</v>
      </c>
      <c r="C40" s="144">
        <v>0.1</v>
      </c>
      <c r="D40" s="145">
        <f t="shared" si="1"/>
        <v>7</v>
      </c>
      <c r="E40" s="144">
        <v>9.2</v>
      </c>
      <c r="F40" s="145">
        <f t="shared" si="2"/>
        <v>17</v>
      </c>
      <c r="G40" s="146">
        <v>1.38</v>
      </c>
      <c r="H40" s="145">
        <f t="shared" si="3"/>
        <v>22</v>
      </c>
      <c r="I40" s="144">
        <v>9.1</v>
      </c>
      <c r="J40" s="145">
        <f t="shared" si="4"/>
        <v>32</v>
      </c>
      <c r="K40" s="144">
        <v>2.8</v>
      </c>
      <c r="L40" s="145">
        <f t="shared" si="5"/>
        <v>43</v>
      </c>
      <c r="M40" s="144">
        <v>1.2</v>
      </c>
    </row>
    <row r="41" spans="1:13" ht="12" customHeight="1">
      <c r="A41" s="142" t="s">
        <v>42</v>
      </c>
      <c r="B41" s="143">
        <f t="shared" si="0"/>
        <v>15</v>
      </c>
      <c r="C41" s="144">
        <v>0.7</v>
      </c>
      <c r="D41" s="145">
        <f t="shared" si="1"/>
        <v>7</v>
      </c>
      <c r="E41" s="144">
        <v>9.2</v>
      </c>
      <c r="F41" s="145">
        <f t="shared" si="2"/>
        <v>29</v>
      </c>
      <c r="G41" s="146">
        <v>1.34</v>
      </c>
      <c r="H41" s="145">
        <f t="shared" si="3"/>
        <v>28</v>
      </c>
      <c r="I41" s="144">
        <v>8.5</v>
      </c>
      <c r="J41" s="145">
        <f t="shared" si="4"/>
        <v>40</v>
      </c>
      <c r="K41" s="144">
        <v>2.6</v>
      </c>
      <c r="L41" s="145">
        <f t="shared" si="5"/>
        <v>38</v>
      </c>
      <c r="M41" s="144">
        <v>1.4</v>
      </c>
    </row>
    <row r="42" spans="1:13" ht="12" customHeight="1">
      <c r="A42" s="142" t="s">
        <v>43</v>
      </c>
      <c r="B42" s="143">
        <f t="shared" si="0"/>
        <v>43</v>
      </c>
      <c r="C42" s="144">
        <v>-2.1</v>
      </c>
      <c r="D42" s="145">
        <f t="shared" si="1"/>
        <v>38</v>
      </c>
      <c r="E42" s="144">
        <v>8.1</v>
      </c>
      <c r="F42" s="145">
        <f t="shared" si="2"/>
        <v>23</v>
      </c>
      <c r="G42" s="146">
        <v>1.36</v>
      </c>
      <c r="H42" s="145">
        <f t="shared" si="3"/>
        <v>5</v>
      </c>
      <c r="I42" s="144">
        <v>10.2</v>
      </c>
      <c r="J42" s="145">
        <f t="shared" si="4"/>
        <v>45</v>
      </c>
      <c r="K42" s="144">
        <v>2.2</v>
      </c>
      <c r="L42" s="145">
        <f t="shared" si="5"/>
        <v>25</v>
      </c>
      <c r="M42" s="144">
        <v>1.6</v>
      </c>
    </row>
    <row r="43" spans="1:13" s="141" customFormat="1" ht="24" customHeight="1">
      <c r="A43" s="136" t="s">
        <v>44</v>
      </c>
      <c r="B43" s="137">
        <f t="shared" si="0"/>
        <v>44</v>
      </c>
      <c r="C43" s="138">
        <v>-2.2</v>
      </c>
      <c r="D43" s="139">
        <f t="shared" si="1"/>
        <v>38</v>
      </c>
      <c r="E43" s="138">
        <v>8.1</v>
      </c>
      <c r="F43" s="139">
        <f t="shared" si="2"/>
        <v>33</v>
      </c>
      <c r="G43" s="140">
        <v>1.32</v>
      </c>
      <c r="H43" s="139">
        <f t="shared" si="3"/>
        <v>4</v>
      </c>
      <c r="I43" s="138">
        <v>10.3</v>
      </c>
      <c r="J43" s="139">
        <f t="shared" si="4"/>
        <v>25</v>
      </c>
      <c r="K43" s="138">
        <v>2.9</v>
      </c>
      <c r="L43" s="139">
        <f t="shared" si="5"/>
        <v>16</v>
      </c>
      <c r="M43" s="138">
        <v>1.8</v>
      </c>
    </row>
    <row r="44" spans="1:13" ht="12" customHeight="1">
      <c r="A44" s="142" t="s">
        <v>45</v>
      </c>
      <c r="B44" s="143">
        <f t="shared" si="0"/>
        <v>28</v>
      </c>
      <c r="C44" s="144">
        <v>-0.4</v>
      </c>
      <c r="D44" s="145">
        <f t="shared" si="1"/>
        <v>18</v>
      </c>
      <c r="E44" s="144">
        <v>9</v>
      </c>
      <c r="F44" s="145">
        <f t="shared" si="2"/>
        <v>14</v>
      </c>
      <c r="G44" s="146">
        <v>1.42</v>
      </c>
      <c r="H44" s="145">
        <f t="shared" si="3"/>
        <v>17</v>
      </c>
      <c r="I44" s="144">
        <v>9.4</v>
      </c>
      <c r="J44" s="145">
        <f t="shared" si="4"/>
        <v>40</v>
      </c>
      <c r="K44" s="144">
        <v>2.6</v>
      </c>
      <c r="L44" s="145">
        <f t="shared" si="5"/>
        <v>33</v>
      </c>
      <c r="M44" s="144">
        <v>1.5</v>
      </c>
    </row>
    <row r="45" spans="1:13" ht="12" customHeight="1">
      <c r="A45" s="142" t="s">
        <v>186</v>
      </c>
      <c r="B45" s="143">
        <f t="shared" si="0"/>
        <v>38</v>
      </c>
      <c r="C45" s="144">
        <v>-1.5</v>
      </c>
      <c r="D45" s="145">
        <f t="shared" si="1"/>
        <v>32</v>
      </c>
      <c r="E45" s="144">
        <v>8.5</v>
      </c>
      <c r="F45" s="145">
        <f t="shared" si="2"/>
        <v>23</v>
      </c>
      <c r="G45" s="146">
        <v>1.36</v>
      </c>
      <c r="H45" s="145">
        <f t="shared" si="3"/>
        <v>8</v>
      </c>
      <c r="I45" s="144">
        <v>10</v>
      </c>
      <c r="J45" s="145">
        <f t="shared" si="4"/>
        <v>25</v>
      </c>
      <c r="K45" s="144">
        <v>2.9</v>
      </c>
      <c r="L45" s="145">
        <f t="shared" si="5"/>
        <v>16</v>
      </c>
      <c r="M45" s="144">
        <v>1.8</v>
      </c>
    </row>
    <row r="46" spans="1:13" ht="12" customHeight="1">
      <c r="A46" s="142" t="s">
        <v>46</v>
      </c>
      <c r="B46" s="143">
        <f t="shared" si="0"/>
        <v>46</v>
      </c>
      <c r="C46" s="144">
        <v>-2.8</v>
      </c>
      <c r="D46" s="145">
        <f t="shared" si="1"/>
        <v>46</v>
      </c>
      <c r="E46" s="144">
        <v>7.8</v>
      </c>
      <c r="F46" s="145">
        <f t="shared" si="2"/>
        <v>29</v>
      </c>
      <c r="G46" s="146">
        <v>1.34</v>
      </c>
      <c r="H46" s="145">
        <f t="shared" si="3"/>
        <v>3</v>
      </c>
      <c r="I46" s="144">
        <v>10.6</v>
      </c>
      <c r="J46" s="145">
        <f t="shared" si="4"/>
        <v>45</v>
      </c>
      <c r="K46" s="144">
        <v>2.2</v>
      </c>
      <c r="L46" s="145">
        <f t="shared" si="5"/>
        <v>38</v>
      </c>
      <c r="M46" s="144">
        <v>1.4</v>
      </c>
    </row>
    <row r="47" spans="1:13" ht="12" customHeight="1">
      <c r="A47" s="142" t="s">
        <v>47</v>
      </c>
      <c r="B47" s="143">
        <f t="shared" si="0"/>
        <v>14</v>
      </c>
      <c r="C47" s="144">
        <v>0.8</v>
      </c>
      <c r="D47" s="145">
        <f t="shared" si="1"/>
        <v>18</v>
      </c>
      <c r="E47" s="144">
        <v>9</v>
      </c>
      <c r="F47" s="145">
        <f t="shared" si="2"/>
        <v>38</v>
      </c>
      <c r="G47" s="146">
        <v>1.25</v>
      </c>
      <c r="H47" s="145">
        <f t="shared" si="3"/>
        <v>34</v>
      </c>
      <c r="I47" s="144">
        <v>8.1</v>
      </c>
      <c r="J47" s="145">
        <f t="shared" si="4"/>
        <v>7</v>
      </c>
      <c r="K47" s="144">
        <v>3.5</v>
      </c>
      <c r="L47" s="145">
        <f t="shared" si="5"/>
        <v>4</v>
      </c>
      <c r="M47" s="144">
        <v>2.1</v>
      </c>
    </row>
    <row r="48" spans="1:13" s="141" customFormat="1" ht="24" customHeight="1">
      <c r="A48" s="136" t="s">
        <v>48</v>
      </c>
      <c r="B48" s="137">
        <f t="shared" si="0"/>
        <v>27</v>
      </c>
      <c r="C48" s="138">
        <v>-0.3</v>
      </c>
      <c r="D48" s="139">
        <f t="shared" si="1"/>
        <v>12</v>
      </c>
      <c r="E48" s="138">
        <v>9.1</v>
      </c>
      <c r="F48" s="139">
        <f t="shared" si="2"/>
        <v>4</v>
      </c>
      <c r="G48" s="140">
        <v>1.51</v>
      </c>
      <c r="H48" s="139">
        <f t="shared" si="3"/>
        <v>17</v>
      </c>
      <c r="I48" s="138">
        <v>9.4</v>
      </c>
      <c r="J48" s="139">
        <f t="shared" si="4"/>
        <v>43</v>
      </c>
      <c r="K48" s="138">
        <v>2.3</v>
      </c>
      <c r="L48" s="139">
        <f t="shared" si="5"/>
        <v>46</v>
      </c>
      <c r="M48" s="138">
        <v>0.8</v>
      </c>
    </row>
    <row r="49" spans="1:13" ht="12" customHeight="1">
      <c r="A49" s="142" t="s">
        <v>49</v>
      </c>
      <c r="B49" s="143">
        <f t="shared" si="0"/>
        <v>32</v>
      </c>
      <c r="C49" s="144">
        <v>-0.8</v>
      </c>
      <c r="D49" s="145">
        <f t="shared" si="1"/>
        <v>30</v>
      </c>
      <c r="E49" s="144">
        <v>8.7</v>
      </c>
      <c r="F49" s="145">
        <f t="shared" si="2"/>
        <v>11</v>
      </c>
      <c r="G49" s="146">
        <v>1.45</v>
      </c>
      <c r="H49" s="145">
        <f t="shared" si="3"/>
        <v>13</v>
      </c>
      <c r="I49" s="144">
        <v>9.5</v>
      </c>
      <c r="J49" s="145">
        <f t="shared" si="4"/>
        <v>3</v>
      </c>
      <c r="K49" s="144">
        <v>3.7</v>
      </c>
      <c r="L49" s="145">
        <f t="shared" si="5"/>
        <v>13</v>
      </c>
      <c r="M49" s="144">
        <v>1.9</v>
      </c>
    </row>
    <row r="50" spans="1:13" ht="12" customHeight="1">
      <c r="A50" s="142" t="s">
        <v>50</v>
      </c>
      <c r="B50" s="143">
        <f t="shared" si="0"/>
        <v>28</v>
      </c>
      <c r="C50" s="144">
        <v>-0.4</v>
      </c>
      <c r="D50" s="145">
        <f t="shared" si="1"/>
        <v>25</v>
      </c>
      <c r="E50" s="144">
        <v>8.8</v>
      </c>
      <c r="F50" s="145">
        <f t="shared" si="2"/>
        <v>8</v>
      </c>
      <c r="G50" s="146">
        <v>1.48</v>
      </c>
      <c r="H50" s="145">
        <f t="shared" si="3"/>
        <v>20</v>
      </c>
      <c r="I50" s="144">
        <v>9.2</v>
      </c>
      <c r="J50" s="145">
        <f t="shared" si="4"/>
        <v>17</v>
      </c>
      <c r="K50" s="144">
        <v>3.1</v>
      </c>
      <c r="L50" s="145">
        <f t="shared" si="5"/>
        <v>9</v>
      </c>
      <c r="M50" s="144">
        <v>2</v>
      </c>
    </row>
    <row r="51" spans="1:13" s="135" customFormat="1" ht="12" customHeight="1">
      <c r="A51" s="130" t="s">
        <v>51</v>
      </c>
      <c r="B51" s="143">
        <f t="shared" si="0"/>
        <v>35</v>
      </c>
      <c r="C51" s="147">
        <v>-1.1</v>
      </c>
      <c r="D51" s="145">
        <f t="shared" si="1"/>
        <v>34</v>
      </c>
      <c r="E51" s="147">
        <v>8.4</v>
      </c>
      <c r="F51" s="148">
        <f t="shared" si="2"/>
        <v>15</v>
      </c>
      <c r="G51" s="149">
        <v>1.41</v>
      </c>
      <c r="H51" s="148">
        <f t="shared" si="3"/>
        <v>13</v>
      </c>
      <c r="I51" s="147">
        <v>9.5</v>
      </c>
      <c r="J51" s="148">
        <f t="shared" si="4"/>
        <v>19</v>
      </c>
      <c r="K51" s="147">
        <v>3</v>
      </c>
      <c r="L51" s="148">
        <f t="shared" si="5"/>
        <v>4</v>
      </c>
      <c r="M51" s="147">
        <v>2.1</v>
      </c>
    </row>
    <row r="52" spans="1:13" ht="12" customHeight="1">
      <c r="A52" s="142" t="s">
        <v>52</v>
      </c>
      <c r="B52" s="143">
        <f t="shared" si="0"/>
        <v>28</v>
      </c>
      <c r="C52" s="144">
        <v>-0.4</v>
      </c>
      <c r="D52" s="145">
        <f t="shared" si="1"/>
        <v>25</v>
      </c>
      <c r="E52" s="144">
        <v>8.8</v>
      </c>
      <c r="F52" s="145">
        <f t="shared" si="2"/>
        <v>5</v>
      </c>
      <c r="G52" s="146">
        <v>1.49</v>
      </c>
      <c r="H52" s="145">
        <f t="shared" si="3"/>
        <v>20</v>
      </c>
      <c r="I52" s="144">
        <v>9.2</v>
      </c>
      <c r="J52" s="145">
        <f t="shared" si="4"/>
        <v>32</v>
      </c>
      <c r="K52" s="144">
        <v>2.8</v>
      </c>
      <c r="L52" s="145">
        <f t="shared" si="5"/>
        <v>25</v>
      </c>
      <c r="M52" s="144">
        <v>1.6</v>
      </c>
    </row>
    <row r="53" spans="1:13" s="141" customFormat="1" ht="24" customHeight="1">
      <c r="A53" s="136" t="s">
        <v>53</v>
      </c>
      <c r="B53" s="137">
        <f t="shared" si="0"/>
        <v>36</v>
      </c>
      <c r="C53" s="138">
        <v>-1.3</v>
      </c>
      <c r="D53" s="139">
        <f t="shared" si="1"/>
        <v>25</v>
      </c>
      <c r="E53" s="138">
        <v>8.8</v>
      </c>
      <c r="F53" s="139">
        <f t="shared" si="2"/>
        <v>5</v>
      </c>
      <c r="G53" s="140">
        <v>1.49</v>
      </c>
      <c r="H53" s="139">
        <f t="shared" si="3"/>
        <v>6</v>
      </c>
      <c r="I53" s="138">
        <v>10.1</v>
      </c>
      <c r="J53" s="139">
        <f t="shared" si="4"/>
        <v>7</v>
      </c>
      <c r="K53" s="138">
        <v>3.5</v>
      </c>
      <c r="L53" s="139">
        <f t="shared" si="5"/>
        <v>9</v>
      </c>
      <c r="M53" s="138">
        <v>2</v>
      </c>
    </row>
    <row r="54" spans="1:13" ht="12" customHeight="1">
      <c r="A54" s="150" t="s">
        <v>54</v>
      </c>
      <c r="B54" s="151">
        <f t="shared" si="0"/>
        <v>1</v>
      </c>
      <c r="C54" s="152">
        <v>5.9</v>
      </c>
      <c r="D54" s="153">
        <f t="shared" si="1"/>
        <v>1</v>
      </c>
      <c r="E54" s="152">
        <v>12.1</v>
      </c>
      <c r="F54" s="153">
        <f t="shared" si="2"/>
        <v>1</v>
      </c>
      <c r="G54" s="154">
        <v>1.72</v>
      </c>
      <c r="H54" s="153">
        <f t="shared" si="3"/>
        <v>47</v>
      </c>
      <c r="I54" s="152">
        <v>6.3</v>
      </c>
      <c r="J54" s="153">
        <f t="shared" si="4"/>
        <v>40</v>
      </c>
      <c r="K54" s="152">
        <v>2.6</v>
      </c>
      <c r="L54" s="153">
        <f t="shared" si="5"/>
        <v>33</v>
      </c>
      <c r="M54" s="152">
        <v>1.5</v>
      </c>
    </row>
  </sheetData>
  <mergeCells count="8">
    <mergeCell ref="A4:A6"/>
    <mergeCell ref="F4:G4"/>
    <mergeCell ref="H4:I5"/>
    <mergeCell ref="L5:M5"/>
    <mergeCell ref="J5:K5"/>
    <mergeCell ref="B4:C5"/>
    <mergeCell ref="D4:E5"/>
    <mergeCell ref="F5:G5"/>
  </mergeCells>
  <printOptions verticalCentered="1"/>
  <pageMargins left="0.7" right="0.49" top="0.1968503937007874" bottom="0.1968503937007874" header="0.5118110236220472" footer="0.5118110236220472"/>
  <pageSetup blackAndWhite="1"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57"/>
  <sheetViews>
    <sheetView zoomScaleSheetLayoutView="10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0.625" style="161" customWidth="1"/>
    <col min="2" max="2" width="6.125" style="161" customWidth="1"/>
    <col min="3" max="3" width="10.625" style="161" customWidth="1"/>
    <col min="4" max="4" width="6.125" style="161" customWidth="1"/>
    <col min="5" max="5" width="10.625" style="161" customWidth="1"/>
    <col min="6" max="6" width="6.125" style="161" customWidth="1"/>
    <col min="7" max="7" width="10.625" style="161" customWidth="1"/>
    <col min="8" max="8" width="6.125" style="162" customWidth="1"/>
    <col min="9" max="9" width="10.625" style="162" customWidth="1"/>
    <col min="10" max="10" width="6.125" style="161" customWidth="1"/>
    <col min="11" max="11" width="10.625" style="161" customWidth="1"/>
    <col min="12" max="12" width="2.625" style="161" customWidth="1"/>
    <col min="13" max="13" width="6.125" style="161" customWidth="1"/>
    <col min="14" max="14" width="10.625" style="161" customWidth="1"/>
    <col min="15" max="15" width="6.125" style="161" customWidth="1"/>
    <col min="16" max="16" width="10.625" style="161" customWidth="1"/>
    <col min="17" max="17" width="6.125" style="162" customWidth="1"/>
    <col min="18" max="18" width="10.625" style="162" customWidth="1"/>
    <col min="19" max="19" width="6.125" style="162" customWidth="1"/>
    <col min="20" max="20" width="7.625" style="162" customWidth="1"/>
    <col min="21" max="21" width="6.125" style="162" customWidth="1"/>
    <col min="22" max="22" width="7.625" style="162" customWidth="1"/>
    <col min="23" max="23" width="6.125" style="162" customWidth="1"/>
    <col min="24" max="24" width="10.625" style="162" customWidth="1"/>
    <col min="25" max="25" width="4.125" style="161" customWidth="1"/>
    <col min="26" max="16384" width="9.00390625" style="159" customWidth="1"/>
  </cols>
  <sheetData>
    <row r="1" spans="1:25" ht="18.75">
      <c r="A1" s="155" t="s">
        <v>55</v>
      </c>
      <c r="B1" s="156"/>
      <c r="C1" s="156"/>
      <c r="D1" s="157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6"/>
      <c r="Y1" s="156"/>
    </row>
    <row r="2" spans="1:25" ht="18.75">
      <c r="A2" s="155" t="s">
        <v>56</v>
      </c>
      <c r="B2" s="160"/>
      <c r="D2" s="157" t="s">
        <v>174</v>
      </c>
      <c r="E2" s="158"/>
      <c r="F2" s="158"/>
      <c r="G2" s="158"/>
      <c r="H2" s="158"/>
      <c r="I2" s="158"/>
      <c r="J2" s="158"/>
      <c r="K2" s="158"/>
      <c r="L2" s="158"/>
      <c r="M2" s="157" t="s">
        <v>173</v>
      </c>
      <c r="N2" s="158"/>
      <c r="O2" s="158"/>
      <c r="P2" s="158"/>
      <c r="Q2" s="158"/>
      <c r="R2" s="158"/>
      <c r="S2" s="158"/>
      <c r="T2" s="158"/>
      <c r="U2" s="158"/>
      <c r="V2" s="158"/>
      <c r="W2" s="158"/>
      <c r="Y2" s="163"/>
    </row>
    <row r="3" spans="1:25" ht="14.25" thickBot="1">
      <c r="A3" s="164"/>
      <c r="B3" s="164"/>
      <c r="C3" s="164"/>
      <c r="D3" s="164"/>
      <c r="E3" s="164"/>
      <c r="F3" s="164"/>
      <c r="G3" s="164"/>
      <c r="H3" s="165"/>
      <c r="I3" s="165"/>
      <c r="J3" s="164"/>
      <c r="K3" s="164"/>
      <c r="L3" s="72"/>
      <c r="M3" s="164"/>
      <c r="N3" s="164"/>
      <c r="O3" s="164"/>
      <c r="P3" s="164"/>
      <c r="Q3" s="165"/>
      <c r="R3" s="165"/>
      <c r="S3" s="165"/>
      <c r="T3" s="165"/>
      <c r="U3" s="165"/>
      <c r="V3" s="165"/>
      <c r="W3" s="165"/>
      <c r="X3" s="165"/>
      <c r="Y3" s="166" t="s">
        <v>196</v>
      </c>
    </row>
    <row r="4" spans="1:25" ht="15.75" customHeight="1">
      <c r="A4" s="167" t="s">
        <v>1</v>
      </c>
      <c r="B4" s="168" t="s">
        <v>171</v>
      </c>
      <c r="C4" s="169"/>
      <c r="D4" s="170"/>
      <c r="E4" s="170"/>
      <c r="F4" s="170"/>
      <c r="G4" s="171"/>
      <c r="H4" s="168" t="s">
        <v>61</v>
      </c>
      <c r="I4" s="169"/>
      <c r="J4" s="168" t="s">
        <v>63</v>
      </c>
      <c r="K4" s="169"/>
      <c r="L4" s="77"/>
      <c r="M4" s="170"/>
      <c r="N4" s="170"/>
      <c r="O4" s="170"/>
      <c r="P4" s="171"/>
      <c r="Q4" s="168" t="s">
        <v>66</v>
      </c>
      <c r="R4" s="169"/>
      <c r="S4" s="172" t="s">
        <v>67</v>
      </c>
      <c r="T4" s="170"/>
      <c r="U4" s="170"/>
      <c r="V4" s="170"/>
      <c r="W4" s="168" t="s">
        <v>111</v>
      </c>
      <c r="X4" s="169"/>
      <c r="Y4" s="173" t="s">
        <v>1</v>
      </c>
    </row>
    <row r="5" spans="1:25" ht="27.75" customHeight="1">
      <c r="A5" s="174"/>
      <c r="B5" s="175"/>
      <c r="C5" s="176"/>
      <c r="D5" s="177" t="s">
        <v>58</v>
      </c>
      <c r="E5" s="178"/>
      <c r="F5" s="179" t="s">
        <v>59</v>
      </c>
      <c r="G5" s="180"/>
      <c r="H5" s="175"/>
      <c r="I5" s="181"/>
      <c r="J5" s="175"/>
      <c r="K5" s="181"/>
      <c r="L5" s="77"/>
      <c r="M5" s="182" t="s">
        <v>188</v>
      </c>
      <c r="N5" s="180"/>
      <c r="O5" s="183" t="s">
        <v>64</v>
      </c>
      <c r="P5" s="180"/>
      <c r="Q5" s="175"/>
      <c r="R5" s="181"/>
      <c r="S5" s="183" t="s">
        <v>68</v>
      </c>
      <c r="T5" s="182"/>
      <c r="U5" s="183" t="s">
        <v>69</v>
      </c>
      <c r="V5" s="182"/>
      <c r="W5" s="175"/>
      <c r="X5" s="181"/>
      <c r="Y5" s="184"/>
    </row>
    <row r="6" spans="1:25" ht="27.75" customHeight="1">
      <c r="A6" s="185"/>
      <c r="B6" s="186" t="s">
        <v>2</v>
      </c>
      <c r="C6" s="187" t="s">
        <v>57</v>
      </c>
      <c r="D6" s="186" t="s">
        <v>2</v>
      </c>
      <c r="E6" s="187" t="s">
        <v>57</v>
      </c>
      <c r="F6" s="186" t="s">
        <v>2</v>
      </c>
      <c r="G6" s="187" t="s">
        <v>57</v>
      </c>
      <c r="H6" s="186" t="s">
        <v>2</v>
      </c>
      <c r="I6" s="188" t="s">
        <v>62</v>
      </c>
      <c r="J6" s="186" t="s">
        <v>2</v>
      </c>
      <c r="K6" s="187" t="s">
        <v>57</v>
      </c>
      <c r="L6" s="78"/>
      <c r="M6" s="189" t="s">
        <v>2</v>
      </c>
      <c r="N6" s="187" t="s">
        <v>57</v>
      </c>
      <c r="O6" s="186" t="s">
        <v>2</v>
      </c>
      <c r="P6" s="187" t="s">
        <v>65</v>
      </c>
      <c r="Q6" s="186" t="s">
        <v>2</v>
      </c>
      <c r="R6" s="188" t="s">
        <v>112</v>
      </c>
      <c r="S6" s="186" t="s">
        <v>2</v>
      </c>
      <c r="T6" s="187" t="s">
        <v>70</v>
      </c>
      <c r="U6" s="186" t="s">
        <v>2</v>
      </c>
      <c r="V6" s="190" t="s">
        <v>70</v>
      </c>
      <c r="W6" s="186" t="s">
        <v>2</v>
      </c>
      <c r="X6" s="188" t="s">
        <v>112</v>
      </c>
      <c r="Y6" s="191"/>
    </row>
    <row r="7" spans="1:25" ht="12" customHeight="1">
      <c r="A7" s="192" t="s">
        <v>8</v>
      </c>
      <c r="B7" s="193"/>
      <c r="C7" s="59">
        <v>30.5</v>
      </c>
      <c r="D7" s="60"/>
      <c r="E7" s="59">
        <v>12.6</v>
      </c>
      <c r="F7" s="60"/>
      <c r="G7" s="59">
        <v>17.8</v>
      </c>
      <c r="H7" s="60"/>
      <c r="I7" s="59">
        <v>11.2</v>
      </c>
      <c r="J7" s="60"/>
      <c r="K7" s="59">
        <v>5.3</v>
      </c>
      <c r="L7" s="65"/>
      <c r="M7" s="60"/>
      <c r="N7" s="59">
        <v>4.1</v>
      </c>
      <c r="O7" s="60"/>
      <c r="P7" s="59">
        <v>1.2</v>
      </c>
      <c r="Q7" s="60"/>
      <c r="R7" s="59">
        <v>5.9</v>
      </c>
      <c r="S7" s="60"/>
      <c r="T7" s="59">
        <v>29.4</v>
      </c>
      <c r="U7" s="60"/>
      <c r="V7" s="59">
        <v>27.6</v>
      </c>
      <c r="W7" s="60"/>
      <c r="X7" s="194">
        <v>2.25</v>
      </c>
      <c r="Y7" s="195" t="s">
        <v>71</v>
      </c>
    </row>
    <row r="8" spans="1:25" s="200" customFormat="1" ht="24" customHeight="1">
      <c r="A8" s="196" t="s">
        <v>9</v>
      </c>
      <c r="B8" s="197">
        <f aca="true" t="shared" si="0" ref="B8:B54">IF(C8="","",RANK(C8,C$8:C$54))</f>
        <v>6</v>
      </c>
      <c r="C8" s="61">
        <v>39.1</v>
      </c>
      <c r="D8" s="62">
        <f aca="true" t="shared" si="1" ref="D8:D54">IF(E8="","",RANK(E8,E$8:E$54))</f>
        <v>7</v>
      </c>
      <c r="E8" s="61">
        <v>13.8</v>
      </c>
      <c r="F8" s="62">
        <f aca="true" t="shared" si="2" ref="F8:F54">IF(G8="","",RANK(G8,G$8:G$54))</f>
        <v>7</v>
      </c>
      <c r="G8" s="61">
        <v>25.3</v>
      </c>
      <c r="H8" s="62">
        <f aca="true" t="shared" si="3" ref="H8:H54">IF(I8="","",RANK(I8,I$8:I$54))</f>
        <v>9</v>
      </c>
      <c r="I8" s="61">
        <v>15.3</v>
      </c>
      <c r="J8" s="62">
        <f aca="true" t="shared" si="4" ref="J8:J54">IF(K8="","",RANK(K8,K$8:K$54))</f>
        <v>14</v>
      </c>
      <c r="K8" s="61">
        <v>5.6</v>
      </c>
      <c r="L8" s="61"/>
      <c r="M8" s="62">
        <f aca="true" t="shared" si="5" ref="M8:M54">IF(N8="","",RANK(N8,N$8:N$54))</f>
        <v>15</v>
      </c>
      <c r="N8" s="61">
        <v>4.4</v>
      </c>
      <c r="O8" s="62">
        <f aca="true" t="shared" si="6" ref="O8:O54">IF(P8="","",RANK(P8,P$8:P$54))</f>
        <v>17</v>
      </c>
      <c r="P8" s="61">
        <v>1.2</v>
      </c>
      <c r="Q8" s="62">
        <f aca="true" t="shared" si="7" ref="Q8:Q54">IF(R8="","",RANK(R8,R$8:R$54))</f>
        <v>14</v>
      </c>
      <c r="R8" s="61">
        <v>5.7</v>
      </c>
      <c r="S8" s="62">
        <f aca="true" t="shared" si="8" ref="S8:S54">IF(T8="","",RANK(T8,T$8:T$54))</f>
        <v>31</v>
      </c>
      <c r="T8" s="61">
        <v>28.8</v>
      </c>
      <c r="U8" s="62">
        <f aca="true" t="shared" si="9" ref="U8:U54">IF(V8="","",RANK(V8,V$8:V$54))</f>
        <v>13</v>
      </c>
      <c r="V8" s="61">
        <v>27.4</v>
      </c>
      <c r="W8" s="62">
        <f aca="true" t="shared" si="10" ref="W8:W54">IF(X8="","",RANK(X8,X$8:X$54))</f>
        <v>2</v>
      </c>
      <c r="X8" s="198">
        <v>2.72</v>
      </c>
      <c r="Y8" s="199" t="s">
        <v>72</v>
      </c>
    </row>
    <row r="9" spans="1:25" ht="12" customHeight="1">
      <c r="A9" s="201" t="s">
        <v>10</v>
      </c>
      <c r="B9" s="202">
        <f t="shared" si="0"/>
        <v>13</v>
      </c>
      <c r="C9" s="63">
        <v>34.2</v>
      </c>
      <c r="D9" s="64">
        <f t="shared" si="1"/>
        <v>12</v>
      </c>
      <c r="E9" s="63">
        <v>13.4</v>
      </c>
      <c r="F9" s="64">
        <f t="shared" si="2"/>
        <v>16</v>
      </c>
      <c r="G9" s="63">
        <v>20.8</v>
      </c>
      <c r="H9" s="64">
        <f t="shared" si="3"/>
        <v>27</v>
      </c>
      <c r="I9" s="63">
        <v>11.3</v>
      </c>
      <c r="J9" s="64">
        <f t="shared" si="4"/>
        <v>4</v>
      </c>
      <c r="K9" s="63">
        <v>6.2</v>
      </c>
      <c r="L9" s="63"/>
      <c r="M9" s="64">
        <f t="shared" si="5"/>
        <v>19</v>
      </c>
      <c r="N9" s="63">
        <v>4.2</v>
      </c>
      <c r="O9" s="64">
        <f t="shared" si="6"/>
        <v>1</v>
      </c>
      <c r="P9" s="63">
        <v>2</v>
      </c>
      <c r="Q9" s="64">
        <f t="shared" si="7"/>
        <v>39</v>
      </c>
      <c r="R9" s="63">
        <v>4.9</v>
      </c>
      <c r="S9" s="64">
        <f t="shared" si="8"/>
        <v>31</v>
      </c>
      <c r="T9" s="63">
        <v>28.8</v>
      </c>
      <c r="U9" s="64">
        <f t="shared" si="9"/>
        <v>37</v>
      </c>
      <c r="V9" s="63">
        <v>27</v>
      </c>
      <c r="W9" s="64">
        <f t="shared" si="10"/>
        <v>6</v>
      </c>
      <c r="X9" s="203">
        <v>2.5</v>
      </c>
      <c r="Y9" s="204" t="s">
        <v>73</v>
      </c>
    </row>
    <row r="10" spans="1:25" ht="12" customHeight="1">
      <c r="A10" s="201" t="s">
        <v>11</v>
      </c>
      <c r="B10" s="202">
        <f t="shared" si="0"/>
        <v>11</v>
      </c>
      <c r="C10" s="63">
        <v>36.4</v>
      </c>
      <c r="D10" s="64">
        <f t="shared" si="1"/>
        <v>3</v>
      </c>
      <c r="E10" s="63">
        <v>14.5</v>
      </c>
      <c r="F10" s="64">
        <f t="shared" si="2"/>
        <v>12</v>
      </c>
      <c r="G10" s="63">
        <v>21.9</v>
      </c>
      <c r="H10" s="64">
        <f t="shared" si="3"/>
        <v>5</v>
      </c>
      <c r="I10" s="63">
        <v>16.4</v>
      </c>
      <c r="J10" s="64">
        <f t="shared" si="4"/>
        <v>23</v>
      </c>
      <c r="K10" s="63">
        <v>5.2</v>
      </c>
      <c r="L10" s="63"/>
      <c r="M10" s="64">
        <f t="shared" si="5"/>
        <v>8</v>
      </c>
      <c r="N10" s="63">
        <v>4.7</v>
      </c>
      <c r="O10" s="64">
        <f t="shared" si="6"/>
        <v>47</v>
      </c>
      <c r="P10" s="63">
        <v>0.4</v>
      </c>
      <c r="Q10" s="64">
        <f t="shared" si="7"/>
        <v>39</v>
      </c>
      <c r="R10" s="63">
        <v>4.9</v>
      </c>
      <c r="S10" s="64">
        <f t="shared" si="8"/>
        <v>26</v>
      </c>
      <c r="T10" s="63">
        <v>28.9</v>
      </c>
      <c r="U10" s="64">
        <f t="shared" si="9"/>
        <v>42</v>
      </c>
      <c r="V10" s="63">
        <v>26.9</v>
      </c>
      <c r="W10" s="64">
        <f t="shared" si="10"/>
        <v>39</v>
      </c>
      <c r="X10" s="203">
        <v>1.91</v>
      </c>
      <c r="Y10" s="204" t="s">
        <v>74</v>
      </c>
    </row>
    <row r="11" spans="1:25" ht="12" customHeight="1">
      <c r="A11" s="201" t="s">
        <v>12</v>
      </c>
      <c r="B11" s="202">
        <f t="shared" si="0"/>
        <v>9</v>
      </c>
      <c r="C11" s="63">
        <v>36.9</v>
      </c>
      <c r="D11" s="64">
        <f t="shared" si="1"/>
        <v>6</v>
      </c>
      <c r="E11" s="63">
        <v>14</v>
      </c>
      <c r="F11" s="64">
        <f t="shared" si="2"/>
        <v>10</v>
      </c>
      <c r="G11" s="63">
        <v>22.9</v>
      </c>
      <c r="H11" s="64">
        <f t="shared" si="3"/>
        <v>14</v>
      </c>
      <c r="I11" s="63">
        <v>14.4</v>
      </c>
      <c r="J11" s="64">
        <f t="shared" si="4"/>
        <v>13</v>
      </c>
      <c r="K11" s="63">
        <v>5.7</v>
      </c>
      <c r="L11" s="63"/>
      <c r="M11" s="64">
        <f t="shared" si="5"/>
        <v>12</v>
      </c>
      <c r="N11" s="63">
        <v>4.5</v>
      </c>
      <c r="O11" s="64">
        <f t="shared" si="6"/>
        <v>17</v>
      </c>
      <c r="P11" s="63">
        <v>1.2</v>
      </c>
      <c r="Q11" s="64">
        <f t="shared" si="7"/>
        <v>11</v>
      </c>
      <c r="R11" s="63">
        <v>5.8</v>
      </c>
      <c r="S11" s="64">
        <f t="shared" si="8"/>
        <v>22</v>
      </c>
      <c r="T11" s="63">
        <v>29</v>
      </c>
      <c r="U11" s="64">
        <f t="shared" si="9"/>
        <v>34</v>
      </c>
      <c r="V11" s="63">
        <v>27.1</v>
      </c>
      <c r="W11" s="64">
        <f t="shared" si="10"/>
        <v>25</v>
      </c>
      <c r="X11" s="203">
        <v>2.16</v>
      </c>
      <c r="Y11" s="204" t="s">
        <v>75</v>
      </c>
    </row>
    <row r="12" spans="1:25" ht="12" customHeight="1">
      <c r="A12" s="201" t="s">
        <v>13</v>
      </c>
      <c r="B12" s="202">
        <f t="shared" si="0"/>
        <v>15</v>
      </c>
      <c r="C12" s="63">
        <v>33.8</v>
      </c>
      <c r="D12" s="64">
        <f t="shared" si="1"/>
        <v>5</v>
      </c>
      <c r="E12" s="63">
        <v>14.4</v>
      </c>
      <c r="F12" s="64">
        <f t="shared" si="2"/>
        <v>19</v>
      </c>
      <c r="G12" s="63">
        <v>19.4</v>
      </c>
      <c r="H12" s="64">
        <f t="shared" si="3"/>
        <v>12</v>
      </c>
      <c r="I12" s="63">
        <v>14.6</v>
      </c>
      <c r="J12" s="64">
        <f t="shared" si="4"/>
        <v>2</v>
      </c>
      <c r="K12" s="63">
        <v>6.4</v>
      </c>
      <c r="L12" s="63"/>
      <c r="M12" s="64">
        <f t="shared" si="5"/>
        <v>8</v>
      </c>
      <c r="N12" s="63">
        <v>4.7</v>
      </c>
      <c r="O12" s="64">
        <f t="shared" si="6"/>
        <v>2</v>
      </c>
      <c r="P12" s="63">
        <v>1.7</v>
      </c>
      <c r="Q12" s="64">
        <f t="shared" si="7"/>
        <v>47</v>
      </c>
      <c r="R12" s="63">
        <v>4.5</v>
      </c>
      <c r="S12" s="64">
        <f t="shared" si="8"/>
        <v>17</v>
      </c>
      <c r="T12" s="63">
        <v>29.1</v>
      </c>
      <c r="U12" s="64">
        <f t="shared" si="9"/>
        <v>25</v>
      </c>
      <c r="V12" s="63">
        <v>27.2</v>
      </c>
      <c r="W12" s="64">
        <f t="shared" si="10"/>
        <v>41</v>
      </c>
      <c r="X12" s="203">
        <v>1.85</v>
      </c>
      <c r="Y12" s="204" t="s">
        <v>76</v>
      </c>
    </row>
    <row r="13" spans="1:25" s="200" customFormat="1" ht="24" customHeight="1">
      <c r="A13" s="196" t="s">
        <v>14</v>
      </c>
      <c r="B13" s="197">
        <f t="shared" si="0"/>
        <v>12</v>
      </c>
      <c r="C13" s="61">
        <v>35.6</v>
      </c>
      <c r="D13" s="62">
        <f t="shared" si="1"/>
        <v>12</v>
      </c>
      <c r="E13" s="61">
        <v>13.4</v>
      </c>
      <c r="F13" s="62">
        <f t="shared" si="2"/>
        <v>11</v>
      </c>
      <c r="G13" s="61">
        <v>22.2</v>
      </c>
      <c r="H13" s="62">
        <f t="shared" si="3"/>
        <v>17</v>
      </c>
      <c r="I13" s="61">
        <v>13.3</v>
      </c>
      <c r="J13" s="62">
        <f t="shared" si="4"/>
        <v>23</v>
      </c>
      <c r="K13" s="61">
        <v>5.2</v>
      </c>
      <c r="L13" s="61"/>
      <c r="M13" s="62">
        <f t="shared" si="5"/>
        <v>22</v>
      </c>
      <c r="N13" s="61">
        <v>4.1</v>
      </c>
      <c r="O13" s="62">
        <f t="shared" si="6"/>
        <v>27</v>
      </c>
      <c r="P13" s="61">
        <v>1.1</v>
      </c>
      <c r="Q13" s="62">
        <f t="shared" si="7"/>
        <v>37</v>
      </c>
      <c r="R13" s="61">
        <v>5</v>
      </c>
      <c r="S13" s="62">
        <f t="shared" si="8"/>
        <v>17</v>
      </c>
      <c r="T13" s="61">
        <v>29.1</v>
      </c>
      <c r="U13" s="62">
        <f t="shared" si="9"/>
        <v>42</v>
      </c>
      <c r="V13" s="61">
        <v>26.9</v>
      </c>
      <c r="W13" s="62">
        <f t="shared" si="10"/>
        <v>43</v>
      </c>
      <c r="X13" s="198">
        <v>1.82</v>
      </c>
      <c r="Y13" s="199" t="s">
        <v>77</v>
      </c>
    </row>
    <row r="14" spans="1:25" ht="12" customHeight="1">
      <c r="A14" s="201" t="s">
        <v>15</v>
      </c>
      <c r="B14" s="202">
        <f t="shared" si="0"/>
        <v>14</v>
      </c>
      <c r="C14" s="63">
        <v>34.1</v>
      </c>
      <c r="D14" s="64">
        <f t="shared" si="1"/>
        <v>17</v>
      </c>
      <c r="E14" s="63">
        <v>13.1</v>
      </c>
      <c r="F14" s="64">
        <f t="shared" si="2"/>
        <v>14</v>
      </c>
      <c r="G14" s="63">
        <v>21</v>
      </c>
      <c r="H14" s="64">
        <f t="shared" si="3"/>
        <v>6</v>
      </c>
      <c r="I14" s="63">
        <v>16.2</v>
      </c>
      <c r="J14" s="64">
        <f t="shared" si="4"/>
        <v>21</v>
      </c>
      <c r="K14" s="63">
        <v>5.3</v>
      </c>
      <c r="L14" s="63"/>
      <c r="M14" s="64">
        <f t="shared" si="5"/>
        <v>22</v>
      </c>
      <c r="N14" s="63">
        <v>4.1</v>
      </c>
      <c r="O14" s="64">
        <f t="shared" si="6"/>
        <v>17</v>
      </c>
      <c r="P14" s="63">
        <v>1.2</v>
      </c>
      <c r="Q14" s="64">
        <f t="shared" si="7"/>
        <v>27</v>
      </c>
      <c r="R14" s="63">
        <v>5.2</v>
      </c>
      <c r="S14" s="64">
        <f t="shared" si="8"/>
        <v>36</v>
      </c>
      <c r="T14" s="63">
        <v>28.7</v>
      </c>
      <c r="U14" s="64">
        <f t="shared" si="9"/>
        <v>47</v>
      </c>
      <c r="V14" s="63">
        <v>26.6</v>
      </c>
      <c r="W14" s="64">
        <f t="shared" si="10"/>
        <v>19</v>
      </c>
      <c r="X14" s="203">
        <v>2.19</v>
      </c>
      <c r="Y14" s="204" t="s">
        <v>78</v>
      </c>
    </row>
    <row r="15" spans="1:25" ht="12" customHeight="1">
      <c r="A15" s="201" t="s">
        <v>16</v>
      </c>
      <c r="B15" s="202">
        <f t="shared" si="0"/>
        <v>21</v>
      </c>
      <c r="C15" s="63">
        <v>30.7</v>
      </c>
      <c r="D15" s="64">
        <f t="shared" si="1"/>
        <v>21</v>
      </c>
      <c r="E15" s="63">
        <v>13</v>
      </c>
      <c r="F15" s="64">
        <f t="shared" si="2"/>
        <v>23</v>
      </c>
      <c r="G15" s="63">
        <v>17.7</v>
      </c>
      <c r="H15" s="64">
        <f t="shared" si="3"/>
        <v>44</v>
      </c>
      <c r="I15" s="63">
        <v>8.1</v>
      </c>
      <c r="J15" s="64">
        <f t="shared" si="4"/>
        <v>8</v>
      </c>
      <c r="K15" s="63">
        <v>6</v>
      </c>
      <c r="L15" s="63"/>
      <c r="M15" s="64">
        <f t="shared" si="5"/>
        <v>3</v>
      </c>
      <c r="N15" s="63">
        <v>4.9</v>
      </c>
      <c r="O15" s="64">
        <f t="shared" si="6"/>
        <v>27</v>
      </c>
      <c r="P15" s="63">
        <v>1.1</v>
      </c>
      <c r="Q15" s="64">
        <f t="shared" si="7"/>
        <v>16</v>
      </c>
      <c r="R15" s="63">
        <v>5.6</v>
      </c>
      <c r="S15" s="64">
        <f t="shared" si="8"/>
        <v>10</v>
      </c>
      <c r="T15" s="63">
        <v>29.3</v>
      </c>
      <c r="U15" s="64">
        <f t="shared" si="9"/>
        <v>20</v>
      </c>
      <c r="V15" s="63">
        <v>27.3</v>
      </c>
      <c r="W15" s="64">
        <f t="shared" si="10"/>
        <v>28</v>
      </c>
      <c r="X15" s="203">
        <v>2.13</v>
      </c>
      <c r="Y15" s="204" t="s">
        <v>79</v>
      </c>
    </row>
    <row r="16" spans="1:25" ht="12" customHeight="1">
      <c r="A16" s="201" t="s">
        <v>17</v>
      </c>
      <c r="B16" s="202">
        <f t="shared" si="0"/>
        <v>18</v>
      </c>
      <c r="C16" s="63">
        <v>32</v>
      </c>
      <c r="D16" s="64">
        <f t="shared" si="1"/>
        <v>17</v>
      </c>
      <c r="E16" s="63">
        <v>13.1</v>
      </c>
      <c r="F16" s="64">
        <f t="shared" si="2"/>
        <v>21</v>
      </c>
      <c r="G16" s="63">
        <v>18.9</v>
      </c>
      <c r="H16" s="64">
        <f t="shared" si="3"/>
        <v>21</v>
      </c>
      <c r="I16" s="63">
        <v>12.6</v>
      </c>
      <c r="J16" s="64">
        <f t="shared" si="4"/>
        <v>1</v>
      </c>
      <c r="K16" s="63">
        <v>6.5</v>
      </c>
      <c r="L16" s="63"/>
      <c r="M16" s="64">
        <f t="shared" si="5"/>
        <v>3</v>
      </c>
      <c r="N16" s="63">
        <v>4.9</v>
      </c>
      <c r="O16" s="64">
        <f t="shared" si="6"/>
        <v>2</v>
      </c>
      <c r="P16" s="63">
        <v>1.7</v>
      </c>
      <c r="Q16" s="64">
        <f t="shared" si="7"/>
        <v>8</v>
      </c>
      <c r="R16" s="63">
        <v>5.9</v>
      </c>
      <c r="S16" s="64">
        <f t="shared" si="8"/>
        <v>17</v>
      </c>
      <c r="T16" s="63">
        <v>29.1</v>
      </c>
      <c r="U16" s="64">
        <f t="shared" si="9"/>
        <v>25</v>
      </c>
      <c r="V16" s="63">
        <v>27.2</v>
      </c>
      <c r="W16" s="64">
        <f t="shared" si="10"/>
        <v>20</v>
      </c>
      <c r="X16" s="203">
        <v>2.18</v>
      </c>
      <c r="Y16" s="204" t="s">
        <v>80</v>
      </c>
    </row>
    <row r="17" spans="1:25" ht="12" customHeight="1">
      <c r="A17" s="201" t="s">
        <v>18</v>
      </c>
      <c r="B17" s="202">
        <f t="shared" si="0"/>
        <v>23</v>
      </c>
      <c r="C17" s="63">
        <v>30.2</v>
      </c>
      <c r="D17" s="64">
        <f t="shared" si="1"/>
        <v>12</v>
      </c>
      <c r="E17" s="63">
        <v>13.4</v>
      </c>
      <c r="F17" s="64">
        <f t="shared" si="2"/>
        <v>28</v>
      </c>
      <c r="G17" s="63">
        <v>16.8</v>
      </c>
      <c r="H17" s="64">
        <f t="shared" si="3"/>
        <v>23</v>
      </c>
      <c r="I17" s="63">
        <v>11.7</v>
      </c>
      <c r="J17" s="64">
        <f t="shared" si="4"/>
        <v>5</v>
      </c>
      <c r="K17" s="63">
        <v>6.1</v>
      </c>
      <c r="L17" s="63"/>
      <c r="M17" s="64">
        <f t="shared" si="5"/>
        <v>10</v>
      </c>
      <c r="N17" s="63">
        <v>4.6</v>
      </c>
      <c r="O17" s="64">
        <f t="shared" si="6"/>
        <v>5</v>
      </c>
      <c r="P17" s="63">
        <v>1.6</v>
      </c>
      <c r="Q17" s="64">
        <f t="shared" si="7"/>
        <v>16</v>
      </c>
      <c r="R17" s="63">
        <v>5.6</v>
      </c>
      <c r="S17" s="64">
        <f t="shared" si="8"/>
        <v>17</v>
      </c>
      <c r="T17" s="63">
        <v>29.1</v>
      </c>
      <c r="U17" s="64">
        <f t="shared" si="9"/>
        <v>20</v>
      </c>
      <c r="V17" s="63">
        <v>27.3</v>
      </c>
      <c r="W17" s="64">
        <f t="shared" si="10"/>
        <v>28</v>
      </c>
      <c r="X17" s="203">
        <v>2.13</v>
      </c>
      <c r="Y17" s="204" t="s">
        <v>81</v>
      </c>
    </row>
    <row r="18" spans="1:25" s="200" customFormat="1" ht="24" customHeight="1">
      <c r="A18" s="196" t="s">
        <v>19</v>
      </c>
      <c r="B18" s="197">
        <f t="shared" si="0"/>
        <v>40</v>
      </c>
      <c r="C18" s="61">
        <v>26.6</v>
      </c>
      <c r="D18" s="62">
        <f t="shared" si="1"/>
        <v>28</v>
      </c>
      <c r="E18" s="61">
        <v>12.2</v>
      </c>
      <c r="F18" s="62">
        <f t="shared" si="2"/>
        <v>39</v>
      </c>
      <c r="G18" s="61">
        <v>14.4</v>
      </c>
      <c r="H18" s="62">
        <f t="shared" si="3"/>
        <v>40</v>
      </c>
      <c r="I18" s="61">
        <v>9.6</v>
      </c>
      <c r="J18" s="62">
        <f t="shared" si="4"/>
        <v>25</v>
      </c>
      <c r="K18" s="61">
        <v>5.1</v>
      </c>
      <c r="L18" s="61"/>
      <c r="M18" s="62">
        <f t="shared" si="5"/>
        <v>25</v>
      </c>
      <c r="N18" s="61">
        <v>4</v>
      </c>
      <c r="O18" s="62">
        <f t="shared" si="6"/>
        <v>27</v>
      </c>
      <c r="P18" s="61">
        <v>1.1</v>
      </c>
      <c r="Q18" s="62">
        <f t="shared" si="7"/>
        <v>7</v>
      </c>
      <c r="R18" s="61">
        <v>6</v>
      </c>
      <c r="S18" s="62">
        <f t="shared" si="8"/>
        <v>4</v>
      </c>
      <c r="T18" s="61">
        <v>29.7</v>
      </c>
      <c r="U18" s="62">
        <f t="shared" si="9"/>
        <v>3</v>
      </c>
      <c r="V18" s="61">
        <v>27.8</v>
      </c>
      <c r="W18" s="62">
        <f t="shared" si="10"/>
        <v>17</v>
      </c>
      <c r="X18" s="198">
        <v>2.21</v>
      </c>
      <c r="Y18" s="199" t="s">
        <v>82</v>
      </c>
    </row>
    <row r="19" spans="1:25" ht="12" customHeight="1">
      <c r="A19" s="201" t="s">
        <v>20</v>
      </c>
      <c r="B19" s="202">
        <f t="shared" si="0"/>
        <v>25</v>
      </c>
      <c r="C19" s="63">
        <v>29.6</v>
      </c>
      <c r="D19" s="64">
        <f t="shared" si="1"/>
        <v>2</v>
      </c>
      <c r="E19" s="63">
        <v>15.7</v>
      </c>
      <c r="F19" s="64">
        <f t="shared" si="2"/>
        <v>41</v>
      </c>
      <c r="G19" s="63">
        <v>13.9</v>
      </c>
      <c r="H19" s="64">
        <f t="shared" si="3"/>
        <v>46</v>
      </c>
      <c r="I19" s="63">
        <v>7</v>
      </c>
      <c r="J19" s="64">
        <f t="shared" si="4"/>
        <v>5</v>
      </c>
      <c r="K19" s="63">
        <v>6.1</v>
      </c>
      <c r="L19" s="63"/>
      <c r="M19" s="64">
        <f t="shared" si="5"/>
        <v>2</v>
      </c>
      <c r="N19" s="63">
        <v>5</v>
      </c>
      <c r="O19" s="64">
        <f t="shared" si="6"/>
        <v>27</v>
      </c>
      <c r="P19" s="63">
        <v>1.1</v>
      </c>
      <c r="Q19" s="64">
        <f t="shared" si="7"/>
        <v>6</v>
      </c>
      <c r="R19" s="63">
        <v>6.2</v>
      </c>
      <c r="S19" s="64">
        <f t="shared" si="8"/>
        <v>3</v>
      </c>
      <c r="T19" s="63">
        <v>29.8</v>
      </c>
      <c r="U19" s="64">
        <f t="shared" si="9"/>
        <v>3</v>
      </c>
      <c r="V19" s="63">
        <v>27.8</v>
      </c>
      <c r="W19" s="64">
        <f t="shared" si="10"/>
        <v>13</v>
      </c>
      <c r="X19" s="203">
        <v>2.24</v>
      </c>
      <c r="Y19" s="204" t="s">
        <v>83</v>
      </c>
    </row>
    <row r="20" spans="1:25" ht="12" customHeight="1">
      <c r="A20" s="201" t="s">
        <v>21</v>
      </c>
      <c r="B20" s="202">
        <f t="shared" si="0"/>
        <v>28</v>
      </c>
      <c r="C20" s="63">
        <v>29</v>
      </c>
      <c r="D20" s="64">
        <f t="shared" si="1"/>
        <v>24</v>
      </c>
      <c r="E20" s="63">
        <v>12.8</v>
      </c>
      <c r="F20" s="64">
        <f t="shared" si="2"/>
        <v>31</v>
      </c>
      <c r="G20" s="63">
        <v>16.2</v>
      </c>
      <c r="H20" s="64">
        <f t="shared" si="3"/>
        <v>37</v>
      </c>
      <c r="I20" s="63">
        <v>9.8</v>
      </c>
      <c r="J20" s="64">
        <f t="shared" si="4"/>
        <v>25</v>
      </c>
      <c r="K20" s="63">
        <v>5.1</v>
      </c>
      <c r="L20" s="63"/>
      <c r="M20" s="64">
        <f t="shared" si="5"/>
        <v>19</v>
      </c>
      <c r="N20" s="63">
        <v>4.2</v>
      </c>
      <c r="O20" s="64">
        <f t="shared" si="6"/>
        <v>37</v>
      </c>
      <c r="P20" s="63">
        <v>0.9</v>
      </c>
      <c r="Q20" s="64">
        <f t="shared" si="7"/>
        <v>1</v>
      </c>
      <c r="R20" s="63">
        <v>7</v>
      </c>
      <c r="S20" s="64">
        <f t="shared" si="8"/>
        <v>1</v>
      </c>
      <c r="T20" s="63">
        <v>30.7</v>
      </c>
      <c r="U20" s="64">
        <f t="shared" si="9"/>
        <v>1</v>
      </c>
      <c r="V20" s="63">
        <v>28.7</v>
      </c>
      <c r="W20" s="64">
        <f t="shared" si="10"/>
        <v>9</v>
      </c>
      <c r="X20" s="203">
        <v>2.34</v>
      </c>
      <c r="Y20" s="204" t="s">
        <v>84</v>
      </c>
    </row>
    <row r="21" spans="1:25" ht="12" customHeight="1">
      <c r="A21" s="201" t="s">
        <v>22</v>
      </c>
      <c r="B21" s="202">
        <f t="shared" si="0"/>
        <v>39</v>
      </c>
      <c r="C21" s="63">
        <v>26.8</v>
      </c>
      <c r="D21" s="64">
        <f t="shared" si="1"/>
        <v>15</v>
      </c>
      <c r="E21" s="63">
        <v>13.2</v>
      </c>
      <c r="F21" s="64">
        <f t="shared" si="2"/>
        <v>44</v>
      </c>
      <c r="G21" s="63">
        <v>13.6</v>
      </c>
      <c r="H21" s="64">
        <f t="shared" si="3"/>
        <v>43</v>
      </c>
      <c r="I21" s="63">
        <v>8.4</v>
      </c>
      <c r="J21" s="64">
        <f t="shared" si="4"/>
        <v>25</v>
      </c>
      <c r="K21" s="63">
        <v>5.1</v>
      </c>
      <c r="L21" s="63"/>
      <c r="M21" s="64">
        <f t="shared" si="5"/>
        <v>25</v>
      </c>
      <c r="N21" s="63">
        <v>4</v>
      </c>
      <c r="O21" s="64">
        <f t="shared" si="6"/>
        <v>17</v>
      </c>
      <c r="P21" s="63">
        <v>1.2</v>
      </c>
      <c r="Q21" s="64">
        <f t="shared" si="7"/>
        <v>2</v>
      </c>
      <c r="R21" s="63">
        <v>6.8</v>
      </c>
      <c r="S21" s="64">
        <f t="shared" si="8"/>
        <v>2</v>
      </c>
      <c r="T21" s="63">
        <v>30.2</v>
      </c>
      <c r="U21" s="64">
        <f t="shared" si="9"/>
        <v>2</v>
      </c>
      <c r="V21" s="63">
        <v>28.2</v>
      </c>
      <c r="W21" s="64">
        <f t="shared" si="10"/>
        <v>11</v>
      </c>
      <c r="X21" s="203">
        <v>2.3</v>
      </c>
      <c r="Y21" s="204" t="s">
        <v>85</v>
      </c>
    </row>
    <row r="22" spans="1:25" ht="12" customHeight="1">
      <c r="A22" s="201" t="s">
        <v>23</v>
      </c>
      <c r="B22" s="202">
        <f t="shared" si="0"/>
        <v>33</v>
      </c>
      <c r="C22" s="63">
        <v>28.1</v>
      </c>
      <c r="D22" s="64">
        <f t="shared" si="1"/>
        <v>31</v>
      </c>
      <c r="E22" s="63">
        <v>12.1</v>
      </c>
      <c r="F22" s="64">
        <f t="shared" si="2"/>
        <v>32</v>
      </c>
      <c r="G22" s="63">
        <v>16.1</v>
      </c>
      <c r="H22" s="64">
        <f t="shared" si="3"/>
        <v>24</v>
      </c>
      <c r="I22" s="63">
        <v>11.6</v>
      </c>
      <c r="J22" s="64">
        <f t="shared" si="4"/>
        <v>30</v>
      </c>
      <c r="K22" s="63">
        <v>5</v>
      </c>
      <c r="L22" s="63"/>
      <c r="M22" s="64">
        <f t="shared" si="5"/>
        <v>35</v>
      </c>
      <c r="N22" s="63">
        <v>3.6</v>
      </c>
      <c r="O22" s="64">
        <f t="shared" si="6"/>
        <v>8</v>
      </c>
      <c r="P22" s="63">
        <v>1.4</v>
      </c>
      <c r="Q22" s="64">
        <f t="shared" si="7"/>
        <v>39</v>
      </c>
      <c r="R22" s="63">
        <v>4.9</v>
      </c>
      <c r="S22" s="64">
        <f t="shared" si="8"/>
        <v>10</v>
      </c>
      <c r="T22" s="63">
        <v>29.3</v>
      </c>
      <c r="U22" s="64">
        <f t="shared" si="9"/>
        <v>20</v>
      </c>
      <c r="V22" s="63">
        <v>27.3</v>
      </c>
      <c r="W22" s="64">
        <f t="shared" si="10"/>
        <v>47</v>
      </c>
      <c r="X22" s="203">
        <v>1.66</v>
      </c>
      <c r="Y22" s="204" t="s">
        <v>86</v>
      </c>
    </row>
    <row r="23" spans="1:25" s="200" customFormat="1" ht="24" customHeight="1">
      <c r="A23" s="196" t="s">
        <v>24</v>
      </c>
      <c r="B23" s="197">
        <f t="shared" si="0"/>
        <v>35</v>
      </c>
      <c r="C23" s="61">
        <v>27.6</v>
      </c>
      <c r="D23" s="62">
        <f t="shared" si="1"/>
        <v>9</v>
      </c>
      <c r="E23" s="61">
        <v>13.7</v>
      </c>
      <c r="F23" s="62">
        <f t="shared" si="2"/>
        <v>41</v>
      </c>
      <c r="G23" s="61">
        <v>13.9</v>
      </c>
      <c r="H23" s="62">
        <f t="shared" si="3"/>
        <v>29</v>
      </c>
      <c r="I23" s="61">
        <v>11</v>
      </c>
      <c r="J23" s="62">
        <f t="shared" si="4"/>
        <v>36</v>
      </c>
      <c r="K23" s="61">
        <v>4.8</v>
      </c>
      <c r="L23" s="61"/>
      <c r="M23" s="62">
        <f t="shared" si="5"/>
        <v>39</v>
      </c>
      <c r="N23" s="61">
        <v>3.4</v>
      </c>
      <c r="O23" s="62">
        <f t="shared" si="6"/>
        <v>8</v>
      </c>
      <c r="P23" s="61">
        <v>1.4</v>
      </c>
      <c r="Q23" s="62">
        <f t="shared" si="7"/>
        <v>32</v>
      </c>
      <c r="R23" s="61">
        <v>5.1</v>
      </c>
      <c r="S23" s="62">
        <f t="shared" si="8"/>
        <v>10</v>
      </c>
      <c r="T23" s="61">
        <v>29.3</v>
      </c>
      <c r="U23" s="62">
        <f t="shared" si="9"/>
        <v>13</v>
      </c>
      <c r="V23" s="61">
        <v>27.4</v>
      </c>
      <c r="W23" s="62">
        <f t="shared" si="10"/>
        <v>45</v>
      </c>
      <c r="X23" s="198">
        <v>1.72</v>
      </c>
      <c r="Y23" s="199" t="s">
        <v>87</v>
      </c>
    </row>
    <row r="24" spans="1:25" ht="12" customHeight="1">
      <c r="A24" s="201" t="s">
        <v>25</v>
      </c>
      <c r="B24" s="202">
        <f t="shared" si="0"/>
        <v>43</v>
      </c>
      <c r="C24" s="63">
        <v>26</v>
      </c>
      <c r="D24" s="64">
        <f t="shared" si="1"/>
        <v>17</v>
      </c>
      <c r="E24" s="63">
        <v>13.1</v>
      </c>
      <c r="F24" s="64">
        <f t="shared" si="2"/>
        <v>45</v>
      </c>
      <c r="G24" s="63">
        <v>12.9</v>
      </c>
      <c r="H24" s="64">
        <f t="shared" si="3"/>
        <v>26</v>
      </c>
      <c r="I24" s="63">
        <v>11.4</v>
      </c>
      <c r="J24" s="64">
        <f t="shared" si="4"/>
        <v>33</v>
      </c>
      <c r="K24" s="63">
        <v>4.9</v>
      </c>
      <c r="L24" s="63"/>
      <c r="M24" s="64">
        <f t="shared" si="5"/>
        <v>35</v>
      </c>
      <c r="N24" s="63">
        <v>3.6</v>
      </c>
      <c r="O24" s="64">
        <f t="shared" si="6"/>
        <v>8</v>
      </c>
      <c r="P24" s="63">
        <v>1.4</v>
      </c>
      <c r="Q24" s="64">
        <f t="shared" si="7"/>
        <v>26</v>
      </c>
      <c r="R24" s="63">
        <v>5.3</v>
      </c>
      <c r="S24" s="64">
        <f t="shared" si="8"/>
        <v>22</v>
      </c>
      <c r="T24" s="63">
        <v>29</v>
      </c>
      <c r="U24" s="64">
        <f t="shared" si="9"/>
        <v>13</v>
      </c>
      <c r="V24" s="63">
        <v>27.4</v>
      </c>
      <c r="W24" s="64">
        <f t="shared" si="10"/>
        <v>42</v>
      </c>
      <c r="X24" s="203">
        <v>1.84</v>
      </c>
      <c r="Y24" s="204" t="s">
        <v>88</v>
      </c>
    </row>
    <row r="25" spans="1:25" ht="12" customHeight="1">
      <c r="A25" s="201" t="s">
        <v>26</v>
      </c>
      <c r="B25" s="202">
        <f t="shared" si="0"/>
        <v>45</v>
      </c>
      <c r="C25" s="63">
        <v>24.8</v>
      </c>
      <c r="D25" s="64">
        <f t="shared" si="1"/>
        <v>41</v>
      </c>
      <c r="E25" s="63">
        <v>10.7</v>
      </c>
      <c r="F25" s="64">
        <f t="shared" si="2"/>
        <v>40</v>
      </c>
      <c r="G25" s="63">
        <v>14</v>
      </c>
      <c r="H25" s="64">
        <f t="shared" si="3"/>
        <v>32</v>
      </c>
      <c r="I25" s="63">
        <v>10.5</v>
      </c>
      <c r="J25" s="64">
        <f t="shared" si="4"/>
        <v>14</v>
      </c>
      <c r="K25" s="63">
        <v>5.6</v>
      </c>
      <c r="L25" s="63"/>
      <c r="M25" s="64">
        <f t="shared" si="5"/>
        <v>15</v>
      </c>
      <c r="N25" s="63">
        <v>4.4</v>
      </c>
      <c r="O25" s="64">
        <f t="shared" si="6"/>
        <v>17</v>
      </c>
      <c r="P25" s="63">
        <v>1.2</v>
      </c>
      <c r="Q25" s="64">
        <f t="shared" si="7"/>
        <v>22</v>
      </c>
      <c r="R25" s="63">
        <v>5.4</v>
      </c>
      <c r="S25" s="64">
        <f t="shared" si="8"/>
        <v>16</v>
      </c>
      <c r="T25" s="63">
        <v>29.2</v>
      </c>
      <c r="U25" s="64">
        <f t="shared" si="9"/>
        <v>25</v>
      </c>
      <c r="V25" s="63">
        <v>27.2</v>
      </c>
      <c r="W25" s="64">
        <f t="shared" si="10"/>
        <v>44</v>
      </c>
      <c r="X25" s="203">
        <v>1.8</v>
      </c>
      <c r="Y25" s="204" t="s">
        <v>78</v>
      </c>
    </row>
    <row r="26" spans="1:25" ht="12" customHeight="1">
      <c r="A26" s="201" t="s">
        <v>27</v>
      </c>
      <c r="B26" s="202">
        <f t="shared" si="0"/>
        <v>42</v>
      </c>
      <c r="C26" s="63">
        <v>26.2</v>
      </c>
      <c r="D26" s="64">
        <f t="shared" si="1"/>
        <v>3</v>
      </c>
      <c r="E26" s="63">
        <v>14.5</v>
      </c>
      <c r="F26" s="64">
        <f t="shared" si="2"/>
        <v>46</v>
      </c>
      <c r="G26" s="63">
        <v>11.7</v>
      </c>
      <c r="H26" s="64">
        <f t="shared" si="3"/>
        <v>45</v>
      </c>
      <c r="I26" s="63">
        <v>7.5</v>
      </c>
      <c r="J26" s="64">
        <f t="shared" si="4"/>
        <v>2</v>
      </c>
      <c r="K26" s="63">
        <v>6.4</v>
      </c>
      <c r="L26" s="63"/>
      <c r="M26" s="64">
        <f t="shared" si="5"/>
        <v>1</v>
      </c>
      <c r="N26" s="63">
        <v>5.3</v>
      </c>
      <c r="O26" s="64">
        <f t="shared" si="6"/>
        <v>17</v>
      </c>
      <c r="P26" s="63">
        <v>1.2</v>
      </c>
      <c r="Q26" s="64">
        <f t="shared" si="7"/>
        <v>20</v>
      </c>
      <c r="R26" s="63">
        <v>5.5</v>
      </c>
      <c r="S26" s="64">
        <f t="shared" si="8"/>
        <v>4</v>
      </c>
      <c r="T26" s="63">
        <v>29.7</v>
      </c>
      <c r="U26" s="64">
        <f t="shared" si="9"/>
        <v>9</v>
      </c>
      <c r="V26" s="63">
        <v>27.6</v>
      </c>
      <c r="W26" s="64">
        <f t="shared" si="10"/>
        <v>36</v>
      </c>
      <c r="X26" s="203">
        <v>2.02</v>
      </c>
      <c r="Y26" s="204" t="s">
        <v>77</v>
      </c>
    </row>
    <row r="27" spans="1:25" ht="12" customHeight="1">
      <c r="A27" s="201" t="s">
        <v>28</v>
      </c>
      <c r="B27" s="202">
        <f t="shared" si="0"/>
        <v>36</v>
      </c>
      <c r="C27" s="63">
        <v>27.4</v>
      </c>
      <c r="D27" s="64">
        <f t="shared" si="1"/>
        <v>22</v>
      </c>
      <c r="E27" s="63">
        <v>12.9</v>
      </c>
      <c r="F27" s="64">
        <f t="shared" si="2"/>
        <v>38</v>
      </c>
      <c r="G27" s="63">
        <v>14.6</v>
      </c>
      <c r="H27" s="64">
        <f t="shared" si="3"/>
        <v>13</v>
      </c>
      <c r="I27" s="63">
        <v>14.5</v>
      </c>
      <c r="J27" s="64">
        <f t="shared" si="4"/>
        <v>30</v>
      </c>
      <c r="K27" s="63">
        <v>5</v>
      </c>
      <c r="L27" s="63"/>
      <c r="M27" s="64">
        <f t="shared" si="5"/>
        <v>19</v>
      </c>
      <c r="N27" s="63">
        <v>4.2</v>
      </c>
      <c r="O27" s="64">
        <f t="shared" si="6"/>
        <v>42</v>
      </c>
      <c r="P27" s="63">
        <v>0.8</v>
      </c>
      <c r="Q27" s="64">
        <f t="shared" si="7"/>
        <v>16</v>
      </c>
      <c r="R27" s="63">
        <v>5.6</v>
      </c>
      <c r="S27" s="64">
        <f t="shared" si="8"/>
        <v>6</v>
      </c>
      <c r="T27" s="63">
        <v>29.6</v>
      </c>
      <c r="U27" s="64">
        <f t="shared" si="9"/>
        <v>7</v>
      </c>
      <c r="V27" s="63">
        <v>27.7</v>
      </c>
      <c r="W27" s="64">
        <f t="shared" si="10"/>
        <v>37</v>
      </c>
      <c r="X27" s="203">
        <v>1.98</v>
      </c>
      <c r="Y27" s="204" t="s">
        <v>89</v>
      </c>
    </row>
    <row r="28" spans="1:25" s="200" customFormat="1" ht="24" customHeight="1">
      <c r="A28" s="196" t="s">
        <v>29</v>
      </c>
      <c r="B28" s="197">
        <f t="shared" si="0"/>
        <v>46</v>
      </c>
      <c r="C28" s="61">
        <v>24.4</v>
      </c>
      <c r="D28" s="62">
        <f t="shared" si="1"/>
        <v>42</v>
      </c>
      <c r="E28" s="61">
        <v>10.5</v>
      </c>
      <c r="F28" s="62">
        <f t="shared" si="2"/>
        <v>41</v>
      </c>
      <c r="G28" s="61">
        <v>13.9</v>
      </c>
      <c r="H28" s="62">
        <f t="shared" si="3"/>
        <v>31</v>
      </c>
      <c r="I28" s="61">
        <v>10.7</v>
      </c>
      <c r="J28" s="62">
        <f t="shared" si="4"/>
        <v>25</v>
      </c>
      <c r="K28" s="61">
        <v>5.1</v>
      </c>
      <c r="L28" s="61"/>
      <c r="M28" s="62">
        <f t="shared" si="5"/>
        <v>25</v>
      </c>
      <c r="N28" s="61">
        <v>4</v>
      </c>
      <c r="O28" s="62">
        <f t="shared" si="6"/>
        <v>27</v>
      </c>
      <c r="P28" s="61">
        <v>1.1</v>
      </c>
      <c r="Q28" s="62">
        <f t="shared" si="7"/>
        <v>22</v>
      </c>
      <c r="R28" s="61">
        <v>5.4</v>
      </c>
      <c r="S28" s="62">
        <f t="shared" si="8"/>
        <v>17</v>
      </c>
      <c r="T28" s="61">
        <v>29.1</v>
      </c>
      <c r="U28" s="62">
        <f t="shared" si="9"/>
        <v>25</v>
      </c>
      <c r="V28" s="61">
        <v>27.2</v>
      </c>
      <c r="W28" s="62">
        <f t="shared" si="10"/>
        <v>40</v>
      </c>
      <c r="X28" s="198">
        <v>1.86</v>
      </c>
      <c r="Y28" s="199" t="s">
        <v>90</v>
      </c>
    </row>
    <row r="29" spans="1:25" ht="12" customHeight="1">
      <c r="A29" s="201" t="s">
        <v>30</v>
      </c>
      <c r="B29" s="202">
        <f t="shared" si="0"/>
        <v>25</v>
      </c>
      <c r="C29" s="63">
        <v>29.6</v>
      </c>
      <c r="D29" s="64">
        <f t="shared" si="1"/>
        <v>7</v>
      </c>
      <c r="E29" s="63">
        <v>13.8</v>
      </c>
      <c r="F29" s="64">
        <f t="shared" si="2"/>
        <v>33</v>
      </c>
      <c r="G29" s="63">
        <v>15.8</v>
      </c>
      <c r="H29" s="64">
        <f t="shared" si="3"/>
        <v>36</v>
      </c>
      <c r="I29" s="63">
        <v>9.9</v>
      </c>
      <c r="J29" s="64">
        <f t="shared" si="4"/>
        <v>11</v>
      </c>
      <c r="K29" s="63">
        <v>5.8</v>
      </c>
      <c r="L29" s="63"/>
      <c r="M29" s="64">
        <f t="shared" si="5"/>
        <v>15</v>
      </c>
      <c r="N29" s="63">
        <v>4.4</v>
      </c>
      <c r="O29" s="64">
        <f t="shared" si="6"/>
        <v>8</v>
      </c>
      <c r="P29" s="63">
        <v>1.4</v>
      </c>
      <c r="Q29" s="64">
        <f t="shared" si="7"/>
        <v>8</v>
      </c>
      <c r="R29" s="63">
        <v>5.9</v>
      </c>
      <c r="S29" s="64">
        <f t="shared" si="8"/>
        <v>8</v>
      </c>
      <c r="T29" s="63">
        <v>29.4</v>
      </c>
      <c r="U29" s="64">
        <f t="shared" si="9"/>
        <v>13</v>
      </c>
      <c r="V29" s="63">
        <v>27.4</v>
      </c>
      <c r="W29" s="64">
        <f t="shared" si="10"/>
        <v>23</v>
      </c>
      <c r="X29" s="203">
        <v>2.17</v>
      </c>
      <c r="Y29" s="204" t="s">
        <v>91</v>
      </c>
    </row>
    <row r="30" spans="1:25" ht="12" customHeight="1">
      <c r="A30" s="201" t="s">
        <v>31</v>
      </c>
      <c r="B30" s="202">
        <f t="shared" si="0"/>
        <v>38</v>
      </c>
      <c r="C30" s="63">
        <v>27.1</v>
      </c>
      <c r="D30" s="64">
        <f t="shared" si="1"/>
        <v>36</v>
      </c>
      <c r="E30" s="63">
        <v>11.6</v>
      </c>
      <c r="F30" s="64">
        <f t="shared" si="2"/>
        <v>34</v>
      </c>
      <c r="G30" s="63">
        <v>15.6</v>
      </c>
      <c r="H30" s="64">
        <f t="shared" si="3"/>
        <v>37</v>
      </c>
      <c r="I30" s="63">
        <v>9.8</v>
      </c>
      <c r="J30" s="64">
        <f t="shared" si="4"/>
        <v>33</v>
      </c>
      <c r="K30" s="63">
        <v>4.9</v>
      </c>
      <c r="L30" s="63"/>
      <c r="M30" s="64">
        <f t="shared" si="5"/>
        <v>25</v>
      </c>
      <c r="N30" s="63">
        <v>4</v>
      </c>
      <c r="O30" s="64">
        <f t="shared" si="6"/>
        <v>37</v>
      </c>
      <c r="P30" s="63">
        <v>0.9</v>
      </c>
      <c r="Q30" s="64">
        <f t="shared" si="7"/>
        <v>3</v>
      </c>
      <c r="R30" s="63">
        <v>6.4</v>
      </c>
      <c r="S30" s="64">
        <f t="shared" si="8"/>
        <v>10</v>
      </c>
      <c r="T30" s="63">
        <v>29.3</v>
      </c>
      <c r="U30" s="64">
        <f t="shared" si="9"/>
        <v>13</v>
      </c>
      <c r="V30" s="63">
        <v>27.4</v>
      </c>
      <c r="W30" s="64">
        <f t="shared" si="10"/>
        <v>30</v>
      </c>
      <c r="X30" s="203">
        <v>2.12</v>
      </c>
      <c r="Y30" s="204" t="s">
        <v>92</v>
      </c>
    </row>
    <row r="31" spans="1:25" ht="12" customHeight="1">
      <c r="A31" s="201" t="s">
        <v>32</v>
      </c>
      <c r="B31" s="202">
        <f t="shared" si="0"/>
        <v>43</v>
      </c>
      <c r="C31" s="63">
        <v>26</v>
      </c>
      <c r="D31" s="64">
        <f t="shared" si="1"/>
        <v>40</v>
      </c>
      <c r="E31" s="63">
        <v>10.9</v>
      </c>
      <c r="F31" s="64">
        <f t="shared" si="2"/>
        <v>36</v>
      </c>
      <c r="G31" s="63">
        <v>15.2</v>
      </c>
      <c r="H31" s="64">
        <f t="shared" si="3"/>
        <v>19</v>
      </c>
      <c r="I31" s="63">
        <v>12.7</v>
      </c>
      <c r="J31" s="64">
        <f t="shared" si="4"/>
        <v>43</v>
      </c>
      <c r="K31" s="63">
        <v>4</v>
      </c>
      <c r="L31" s="63"/>
      <c r="M31" s="64">
        <f t="shared" si="5"/>
        <v>45</v>
      </c>
      <c r="N31" s="63">
        <v>2.8</v>
      </c>
      <c r="O31" s="64">
        <f t="shared" si="6"/>
        <v>17</v>
      </c>
      <c r="P31" s="63">
        <v>1.2</v>
      </c>
      <c r="Q31" s="64">
        <f t="shared" si="7"/>
        <v>20</v>
      </c>
      <c r="R31" s="63">
        <v>5.5</v>
      </c>
      <c r="S31" s="64">
        <f t="shared" si="8"/>
        <v>26</v>
      </c>
      <c r="T31" s="63">
        <v>28.9</v>
      </c>
      <c r="U31" s="64">
        <f t="shared" si="9"/>
        <v>25</v>
      </c>
      <c r="V31" s="63">
        <v>27.2</v>
      </c>
      <c r="W31" s="64">
        <f t="shared" si="10"/>
        <v>30</v>
      </c>
      <c r="X31" s="203">
        <v>2.12</v>
      </c>
      <c r="Y31" s="204" t="s">
        <v>93</v>
      </c>
    </row>
    <row r="32" spans="1:25" ht="12" customHeight="1">
      <c r="A32" s="201" t="s">
        <v>33</v>
      </c>
      <c r="B32" s="202">
        <f t="shared" si="0"/>
        <v>47</v>
      </c>
      <c r="C32" s="63">
        <v>21.1</v>
      </c>
      <c r="D32" s="64">
        <f t="shared" si="1"/>
        <v>45</v>
      </c>
      <c r="E32" s="63">
        <v>9.6</v>
      </c>
      <c r="F32" s="64">
        <f t="shared" si="2"/>
        <v>47</v>
      </c>
      <c r="G32" s="63">
        <v>11.5</v>
      </c>
      <c r="H32" s="64">
        <f t="shared" si="3"/>
        <v>33</v>
      </c>
      <c r="I32" s="63">
        <v>10.4</v>
      </c>
      <c r="J32" s="64">
        <f t="shared" si="4"/>
        <v>25</v>
      </c>
      <c r="K32" s="63">
        <v>5.1</v>
      </c>
      <c r="L32" s="63"/>
      <c r="M32" s="64">
        <f t="shared" si="5"/>
        <v>35</v>
      </c>
      <c r="N32" s="63">
        <v>3.6</v>
      </c>
      <c r="O32" s="64">
        <f t="shared" si="6"/>
        <v>7</v>
      </c>
      <c r="P32" s="63">
        <v>1.5</v>
      </c>
      <c r="Q32" s="64">
        <f t="shared" si="7"/>
        <v>8</v>
      </c>
      <c r="R32" s="63">
        <v>5.9</v>
      </c>
      <c r="S32" s="64">
        <f t="shared" si="8"/>
        <v>22</v>
      </c>
      <c r="T32" s="63">
        <v>29</v>
      </c>
      <c r="U32" s="64">
        <f t="shared" si="9"/>
        <v>20</v>
      </c>
      <c r="V32" s="63">
        <v>27.3</v>
      </c>
      <c r="W32" s="64">
        <f t="shared" si="10"/>
        <v>38</v>
      </c>
      <c r="X32" s="203">
        <v>1.93</v>
      </c>
      <c r="Y32" s="204" t="s">
        <v>94</v>
      </c>
    </row>
    <row r="33" spans="1:25" s="200" customFormat="1" ht="24" customHeight="1">
      <c r="A33" s="196" t="s">
        <v>34</v>
      </c>
      <c r="B33" s="197">
        <f t="shared" si="0"/>
        <v>29</v>
      </c>
      <c r="C33" s="61">
        <v>28.8</v>
      </c>
      <c r="D33" s="62">
        <f t="shared" si="1"/>
        <v>26</v>
      </c>
      <c r="E33" s="61">
        <v>12.5</v>
      </c>
      <c r="F33" s="62">
        <f t="shared" si="2"/>
        <v>30</v>
      </c>
      <c r="G33" s="61">
        <v>16.3</v>
      </c>
      <c r="H33" s="62">
        <f t="shared" si="3"/>
        <v>34</v>
      </c>
      <c r="I33" s="61">
        <v>10.2</v>
      </c>
      <c r="J33" s="62">
        <f t="shared" si="4"/>
        <v>5</v>
      </c>
      <c r="K33" s="61">
        <v>6.1</v>
      </c>
      <c r="L33" s="61"/>
      <c r="M33" s="62">
        <f t="shared" si="5"/>
        <v>5</v>
      </c>
      <c r="N33" s="61">
        <v>4.8</v>
      </c>
      <c r="O33" s="62">
        <f t="shared" si="6"/>
        <v>12</v>
      </c>
      <c r="P33" s="61">
        <v>1.3</v>
      </c>
      <c r="Q33" s="62">
        <f t="shared" si="7"/>
        <v>16</v>
      </c>
      <c r="R33" s="61">
        <v>5.6</v>
      </c>
      <c r="S33" s="62">
        <f t="shared" si="8"/>
        <v>7</v>
      </c>
      <c r="T33" s="61">
        <v>29.5</v>
      </c>
      <c r="U33" s="62">
        <f t="shared" si="9"/>
        <v>3</v>
      </c>
      <c r="V33" s="61">
        <v>27.8</v>
      </c>
      <c r="W33" s="62">
        <f t="shared" si="10"/>
        <v>25</v>
      </c>
      <c r="X33" s="198">
        <v>2.16</v>
      </c>
      <c r="Y33" s="199" t="s">
        <v>95</v>
      </c>
    </row>
    <row r="34" spans="1:25" ht="12" customHeight="1">
      <c r="A34" s="201" t="s">
        <v>35</v>
      </c>
      <c r="B34" s="202">
        <f t="shared" si="0"/>
        <v>31</v>
      </c>
      <c r="C34" s="63">
        <v>28.4</v>
      </c>
      <c r="D34" s="64">
        <f t="shared" si="1"/>
        <v>37</v>
      </c>
      <c r="E34" s="63">
        <v>11.3</v>
      </c>
      <c r="F34" s="64">
        <f t="shared" si="2"/>
        <v>26</v>
      </c>
      <c r="G34" s="63">
        <v>17.2</v>
      </c>
      <c r="H34" s="64">
        <f t="shared" si="3"/>
        <v>35</v>
      </c>
      <c r="I34" s="63">
        <v>10</v>
      </c>
      <c r="J34" s="64">
        <f t="shared" si="4"/>
        <v>30</v>
      </c>
      <c r="K34" s="63">
        <v>5</v>
      </c>
      <c r="L34" s="63"/>
      <c r="M34" s="64">
        <f t="shared" si="5"/>
        <v>30</v>
      </c>
      <c r="N34" s="63">
        <v>3.8</v>
      </c>
      <c r="O34" s="64">
        <f t="shared" si="6"/>
        <v>17</v>
      </c>
      <c r="P34" s="63">
        <v>1.2</v>
      </c>
      <c r="Q34" s="64">
        <f t="shared" si="7"/>
        <v>4</v>
      </c>
      <c r="R34" s="63">
        <v>6.3</v>
      </c>
      <c r="S34" s="64">
        <f t="shared" si="8"/>
        <v>8</v>
      </c>
      <c r="T34" s="63">
        <v>29.4</v>
      </c>
      <c r="U34" s="64">
        <f t="shared" si="9"/>
        <v>3</v>
      </c>
      <c r="V34" s="63">
        <v>27.8</v>
      </c>
      <c r="W34" s="64">
        <f t="shared" si="10"/>
        <v>3</v>
      </c>
      <c r="X34" s="203">
        <v>2.71</v>
      </c>
      <c r="Y34" s="204" t="s">
        <v>96</v>
      </c>
    </row>
    <row r="35" spans="1:25" ht="12" customHeight="1">
      <c r="A35" s="201" t="s">
        <v>36</v>
      </c>
      <c r="B35" s="202">
        <f t="shared" si="0"/>
        <v>34</v>
      </c>
      <c r="C35" s="63">
        <v>28</v>
      </c>
      <c r="D35" s="64">
        <f t="shared" si="1"/>
        <v>22</v>
      </c>
      <c r="E35" s="63">
        <v>12.9</v>
      </c>
      <c r="F35" s="64">
        <f t="shared" si="2"/>
        <v>37</v>
      </c>
      <c r="G35" s="63">
        <v>15.1</v>
      </c>
      <c r="H35" s="64">
        <f t="shared" si="3"/>
        <v>41</v>
      </c>
      <c r="I35" s="63">
        <v>9.1</v>
      </c>
      <c r="J35" s="64">
        <f t="shared" si="4"/>
        <v>14</v>
      </c>
      <c r="K35" s="63">
        <v>5.6</v>
      </c>
      <c r="L35" s="63"/>
      <c r="M35" s="64">
        <f t="shared" si="5"/>
        <v>15</v>
      </c>
      <c r="N35" s="63">
        <v>4.4</v>
      </c>
      <c r="O35" s="64">
        <f t="shared" si="6"/>
        <v>17</v>
      </c>
      <c r="P35" s="63">
        <v>1.2</v>
      </c>
      <c r="Q35" s="64">
        <f t="shared" si="7"/>
        <v>14</v>
      </c>
      <c r="R35" s="63">
        <v>5.7</v>
      </c>
      <c r="S35" s="64">
        <f t="shared" si="8"/>
        <v>10</v>
      </c>
      <c r="T35" s="63">
        <v>29.3</v>
      </c>
      <c r="U35" s="64">
        <f t="shared" si="9"/>
        <v>7</v>
      </c>
      <c r="V35" s="63">
        <v>27.7</v>
      </c>
      <c r="W35" s="64">
        <f t="shared" si="10"/>
        <v>14</v>
      </c>
      <c r="X35" s="203">
        <v>2.22</v>
      </c>
      <c r="Y35" s="204" t="s">
        <v>97</v>
      </c>
    </row>
    <row r="36" spans="1:25" ht="12" customHeight="1">
      <c r="A36" s="201" t="s">
        <v>37</v>
      </c>
      <c r="B36" s="202">
        <f t="shared" si="0"/>
        <v>23</v>
      </c>
      <c r="C36" s="63">
        <v>30.2</v>
      </c>
      <c r="D36" s="64">
        <f t="shared" si="1"/>
        <v>17</v>
      </c>
      <c r="E36" s="63">
        <v>13.1</v>
      </c>
      <c r="F36" s="64">
        <f t="shared" si="2"/>
        <v>27</v>
      </c>
      <c r="G36" s="63">
        <v>17.1</v>
      </c>
      <c r="H36" s="64">
        <f t="shared" si="3"/>
        <v>47</v>
      </c>
      <c r="I36" s="63">
        <v>6.2</v>
      </c>
      <c r="J36" s="64">
        <f t="shared" si="4"/>
        <v>44</v>
      </c>
      <c r="K36" s="63">
        <v>3.9</v>
      </c>
      <c r="L36" s="63"/>
      <c r="M36" s="64">
        <f t="shared" si="5"/>
        <v>41</v>
      </c>
      <c r="N36" s="63">
        <v>3.3</v>
      </c>
      <c r="O36" s="64">
        <f t="shared" si="6"/>
        <v>45</v>
      </c>
      <c r="P36" s="63">
        <v>0.7</v>
      </c>
      <c r="Q36" s="64">
        <f t="shared" si="7"/>
        <v>32</v>
      </c>
      <c r="R36" s="63">
        <v>5.1</v>
      </c>
      <c r="S36" s="64">
        <f t="shared" si="8"/>
        <v>10</v>
      </c>
      <c r="T36" s="63">
        <v>29.3</v>
      </c>
      <c r="U36" s="64">
        <f t="shared" si="9"/>
        <v>9</v>
      </c>
      <c r="V36" s="63">
        <v>27.6</v>
      </c>
      <c r="W36" s="64">
        <f t="shared" si="10"/>
        <v>34</v>
      </c>
      <c r="X36" s="203">
        <v>2.07</v>
      </c>
      <c r="Y36" s="204" t="s">
        <v>98</v>
      </c>
    </row>
    <row r="37" spans="1:25" ht="12" customHeight="1">
      <c r="A37" s="201" t="s">
        <v>38</v>
      </c>
      <c r="B37" s="202">
        <f t="shared" si="0"/>
        <v>17</v>
      </c>
      <c r="C37" s="63">
        <v>32.1</v>
      </c>
      <c r="D37" s="64">
        <f t="shared" si="1"/>
        <v>38</v>
      </c>
      <c r="E37" s="63">
        <v>11.2</v>
      </c>
      <c r="F37" s="64">
        <f t="shared" si="2"/>
        <v>15</v>
      </c>
      <c r="G37" s="63">
        <v>20.9</v>
      </c>
      <c r="H37" s="64">
        <f t="shared" si="3"/>
        <v>27</v>
      </c>
      <c r="I37" s="63">
        <v>11.3</v>
      </c>
      <c r="J37" s="64">
        <f t="shared" si="4"/>
        <v>8</v>
      </c>
      <c r="K37" s="63">
        <v>6</v>
      </c>
      <c r="L37" s="63"/>
      <c r="M37" s="64">
        <f t="shared" si="5"/>
        <v>5</v>
      </c>
      <c r="N37" s="63">
        <v>4.8</v>
      </c>
      <c r="O37" s="64">
        <f t="shared" si="6"/>
        <v>12</v>
      </c>
      <c r="P37" s="63">
        <v>1.3</v>
      </c>
      <c r="Q37" s="64">
        <f t="shared" si="7"/>
        <v>39</v>
      </c>
      <c r="R37" s="63">
        <v>4.9</v>
      </c>
      <c r="S37" s="64">
        <f t="shared" si="8"/>
        <v>31</v>
      </c>
      <c r="T37" s="63">
        <v>28.8</v>
      </c>
      <c r="U37" s="64">
        <f t="shared" si="9"/>
        <v>25</v>
      </c>
      <c r="V37" s="63">
        <v>27.2</v>
      </c>
      <c r="W37" s="64">
        <f t="shared" si="10"/>
        <v>8</v>
      </c>
      <c r="X37" s="203">
        <v>2.39</v>
      </c>
      <c r="Y37" s="204" t="s">
        <v>99</v>
      </c>
    </row>
    <row r="38" spans="1:25" s="200" customFormat="1" ht="24" customHeight="1">
      <c r="A38" s="196" t="s">
        <v>39</v>
      </c>
      <c r="B38" s="197">
        <f t="shared" si="0"/>
        <v>19</v>
      </c>
      <c r="C38" s="61">
        <v>31.7</v>
      </c>
      <c r="D38" s="62">
        <f t="shared" si="1"/>
        <v>32</v>
      </c>
      <c r="E38" s="61">
        <v>11.9</v>
      </c>
      <c r="F38" s="62">
        <f t="shared" si="2"/>
        <v>17</v>
      </c>
      <c r="G38" s="61">
        <v>19.8</v>
      </c>
      <c r="H38" s="62">
        <f t="shared" si="3"/>
        <v>1</v>
      </c>
      <c r="I38" s="61">
        <v>19.3</v>
      </c>
      <c r="J38" s="62">
        <f t="shared" si="4"/>
        <v>42</v>
      </c>
      <c r="K38" s="61">
        <v>4.2</v>
      </c>
      <c r="L38" s="61"/>
      <c r="M38" s="62">
        <f t="shared" si="5"/>
        <v>43</v>
      </c>
      <c r="N38" s="61">
        <v>3.1</v>
      </c>
      <c r="O38" s="62">
        <f t="shared" si="6"/>
        <v>27</v>
      </c>
      <c r="P38" s="61">
        <v>1.1</v>
      </c>
      <c r="Q38" s="62">
        <f t="shared" si="7"/>
        <v>32</v>
      </c>
      <c r="R38" s="61">
        <v>5.1</v>
      </c>
      <c r="S38" s="62">
        <f t="shared" si="8"/>
        <v>39</v>
      </c>
      <c r="T38" s="61">
        <v>28.6</v>
      </c>
      <c r="U38" s="62">
        <f t="shared" si="9"/>
        <v>46</v>
      </c>
      <c r="V38" s="61">
        <v>26.8</v>
      </c>
      <c r="W38" s="62">
        <f t="shared" si="10"/>
        <v>20</v>
      </c>
      <c r="X38" s="198">
        <v>2.18</v>
      </c>
      <c r="Y38" s="199" t="s">
        <v>100</v>
      </c>
    </row>
    <row r="39" spans="1:25" ht="12" customHeight="1">
      <c r="A39" s="201" t="s">
        <v>40</v>
      </c>
      <c r="B39" s="202">
        <f t="shared" si="0"/>
        <v>31</v>
      </c>
      <c r="C39" s="63">
        <v>28.4</v>
      </c>
      <c r="D39" s="64">
        <f t="shared" si="1"/>
        <v>43</v>
      </c>
      <c r="E39" s="63">
        <v>10.2</v>
      </c>
      <c r="F39" s="64">
        <f t="shared" si="2"/>
        <v>22</v>
      </c>
      <c r="G39" s="63">
        <v>18.2</v>
      </c>
      <c r="H39" s="64">
        <f t="shared" si="3"/>
        <v>29</v>
      </c>
      <c r="I39" s="63">
        <v>11</v>
      </c>
      <c r="J39" s="64">
        <f t="shared" si="4"/>
        <v>37</v>
      </c>
      <c r="K39" s="63">
        <v>4.7</v>
      </c>
      <c r="L39" s="63"/>
      <c r="M39" s="64">
        <f t="shared" si="5"/>
        <v>30</v>
      </c>
      <c r="N39" s="63">
        <v>3.8</v>
      </c>
      <c r="O39" s="64">
        <f t="shared" si="6"/>
        <v>34</v>
      </c>
      <c r="P39" s="63">
        <v>1</v>
      </c>
      <c r="Q39" s="64">
        <f t="shared" si="7"/>
        <v>45</v>
      </c>
      <c r="R39" s="63">
        <v>4.8</v>
      </c>
      <c r="S39" s="64">
        <f t="shared" si="8"/>
        <v>31</v>
      </c>
      <c r="T39" s="63">
        <v>28.8</v>
      </c>
      <c r="U39" s="64">
        <f t="shared" si="9"/>
        <v>37</v>
      </c>
      <c r="V39" s="63">
        <v>27</v>
      </c>
      <c r="W39" s="64">
        <f t="shared" si="10"/>
        <v>46</v>
      </c>
      <c r="X39" s="203">
        <v>1.71</v>
      </c>
      <c r="Y39" s="204" t="s">
        <v>101</v>
      </c>
    </row>
    <row r="40" spans="1:25" ht="12" customHeight="1">
      <c r="A40" s="201" t="s">
        <v>41</v>
      </c>
      <c r="B40" s="202">
        <f t="shared" si="0"/>
        <v>20</v>
      </c>
      <c r="C40" s="63">
        <v>31.5</v>
      </c>
      <c r="D40" s="64">
        <f t="shared" si="1"/>
        <v>44</v>
      </c>
      <c r="E40" s="63">
        <v>10.1</v>
      </c>
      <c r="F40" s="64">
        <f t="shared" si="2"/>
        <v>13</v>
      </c>
      <c r="G40" s="63">
        <v>21.4</v>
      </c>
      <c r="H40" s="64">
        <f t="shared" si="3"/>
        <v>10</v>
      </c>
      <c r="I40" s="63">
        <v>15.1</v>
      </c>
      <c r="J40" s="64">
        <f t="shared" si="4"/>
        <v>46</v>
      </c>
      <c r="K40" s="63">
        <v>3.6</v>
      </c>
      <c r="L40" s="63"/>
      <c r="M40" s="64">
        <f t="shared" si="5"/>
        <v>46</v>
      </c>
      <c r="N40" s="63">
        <v>2.7</v>
      </c>
      <c r="O40" s="64">
        <f t="shared" si="6"/>
        <v>42</v>
      </c>
      <c r="P40" s="63">
        <v>0.8</v>
      </c>
      <c r="Q40" s="64">
        <f t="shared" si="7"/>
        <v>22</v>
      </c>
      <c r="R40" s="63">
        <v>5.4</v>
      </c>
      <c r="S40" s="64">
        <f t="shared" si="8"/>
        <v>39</v>
      </c>
      <c r="T40" s="63">
        <v>28.6</v>
      </c>
      <c r="U40" s="64">
        <f t="shared" si="9"/>
        <v>37</v>
      </c>
      <c r="V40" s="63">
        <v>27</v>
      </c>
      <c r="W40" s="64">
        <f t="shared" si="10"/>
        <v>32</v>
      </c>
      <c r="X40" s="203">
        <v>2.11</v>
      </c>
      <c r="Y40" s="204" t="s">
        <v>102</v>
      </c>
    </row>
    <row r="41" spans="1:25" ht="12" customHeight="1">
      <c r="A41" s="201" t="s">
        <v>42</v>
      </c>
      <c r="B41" s="202">
        <f t="shared" si="0"/>
        <v>40</v>
      </c>
      <c r="C41" s="63">
        <v>26.6</v>
      </c>
      <c r="D41" s="64">
        <f t="shared" si="1"/>
        <v>39</v>
      </c>
      <c r="E41" s="63">
        <v>11.1</v>
      </c>
      <c r="F41" s="64">
        <f t="shared" si="2"/>
        <v>35</v>
      </c>
      <c r="G41" s="63">
        <v>15.4</v>
      </c>
      <c r="H41" s="64">
        <f t="shared" si="3"/>
        <v>19</v>
      </c>
      <c r="I41" s="63">
        <v>12.7</v>
      </c>
      <c r="J41" s="64">
        <f t="shared" si="4"/>
        <v>40</v>
      </c>
      <c r="K41" s="63">
        <v>4.5</v>
      </c>
      <c r="L41" s="63"/>
      <c r="M41" s="64">
        <f t="shared" si="5"/>
        <v>32</v>
      </c>
      <c r="N41" s="63">
        <v>3.7</v>
      </c>
      <c r="O41" s="64">
        <f t="shared" si="6"/>
        <v>42</v>
      </c>
      <c r="P41" s="63">
        <v>0.8</v>
      </c>
      <c r="Q41" s="64">
        <f t="shared" si="7"/>
        <v>11</v>
      </c>
      <c r="R41" s="63">
        <v>5.8</v>
      </c>
      <c r="S41" s="64">
        <f t="shared" si="8"/>
        <v>26</v>
      </c>
      <c r="T41" s="63">
        <v>28.9</v>
      </c>
      <c r="U41" s="64">
        <f t="shared" si="9"/>
        <v>20</v>
      </c>
      <c r="V41" s="63">
        <v>27.3</v>
      </c>
      <c r="W41" s="64">
        <f t="shared" si="10"/>
        <v>14</v>
      </c>
      <c r="X41" s="203">
        <v>2.22</v>
      </c>
      <c r="Y41" s="204" t="s">
        <v>103</v>
      </c>
    </row>
    <row r="42" spans="1:25" ht="12" customHeight="1">
      <c r="A42" s="201" t="s">
        <v>43</v>
      </c>
      <c r="B42" s="202">
        <f t="shared" si="0"/>
        <v>25</v>
      </c>
      <c r="C42" s="63">
        <v>29.6</v>
      </c>
      <c r="D42" s="64">
        <f t="shared" si="1"/>
        <v>32</v>
      </c>
      <c r="E42" s="63">
        <v>11.9</v>
      </c>
      <c r="F42" s="64">
        <f t="shared" si="2"/>
        <v>23</v>
      </c>
      <c r="G42" s="63">
        <v>17.7</v>
      </c>
      <c r="H42" s="64">
        <f t="shared" si="3"/>
        <v>22</v>
      </c>
      <c r="I42" s="63">
        <v>12</v>
      </c>
      <c r="J42" s="64">
        <f t="shared" si="4"/>
        <v>38</v>
      </c>
      <c r="K42" s="63">
        <v>4.6</v>
      </c>
      <c r="L42" s="63"/>
      <c r="M42" s="64">
        <f t="shared" si="5"/>
        <v>32</v>
      </c>
      <c r="N42" s="63">
        <v>3.7</v>
      </c>
      <c r="O42" s="64">
        <f t="shared" si="6"/>
        <v>37</v>
      </c>
      <c r="P42" s="63">
        <v>0.9</v>
      </c>
      <c r="Q42" s="64">
        <f t="shared" si="7"/>
        <v>39</v>
      </c>
      <c r="R42" s="63">
        <v>4.9</v>
      </c>
      <c r="S42" s="64">
        <f t="shared" si="8"/>
        <v>43</v>
      </c>
      <c r="T42" s="63">
        <v>28.5</v>
      </c>
      <c r="U42" s="64">
        <f t="shared" si="9"/>
        <v>34</v>
      </c>
      <c r="V42" s="63">
        <v>27.1</v>
      </c>
      <c r="W42" s="64">
        <f t="shared" si="10"/>
        <v>23</v>
      </c>
      <c r="X42" s="203">
        <v>2.17</v>
      </c>
      <c r="Y42" s="204" t="s">
        <v>77</v>
      </c>
    </row>
    <row r="43" spans="1:25" s="200" customFormat="1" ht="24" customHeight="1">
      <c r="A43" s="196" t="s">
        <v>44</v>
      </c>
      <c r="B43" s="197">
        <f t="shared" si="0"/>
        <v>30</v>
      </c>
      <c r="C43" s="61">
        <v>28.7</v>
      </c>
      <c r="D43" s="62">
        <f t="shared" si="1"/>
        <v>47</v>
      </c>
      <c r="E43" s="61">
        <v>9.2</v>
      </c>
      <c r="F43" s="62">
        <f t="shared" si="2"/>
        <v>18</v>
      </c>
      <c r="G43" s="61">
        <v>19.6</v>
      </c>
      <c r="H43" s="62">
        <f t="shared" si="3"/>
        <v>25</v>
      </c>
      <c r="I43" s="61">
        <v>11.5</v>
      </c>
      <c r="J43" s="62">
        <f t="shared" si="4"/>
        <v>33</v>
      </c>
      <c r="K43" s="61">
        <v>4.9</v>
      </c>
      <c r="L43" s="61"/>
      <c r="M43" s="62">
        <f t="shared" si="5"/>
        <v>42</v>
      </c>
      <c r="N43" s="61">
        <v>3.2</v>
      </c>
      <c r="O43" s="62">
        <f t="shared" si="6"/>
        <v>2</v>
      </c>
      <c r="P43" s="61">
        <v>1.7</v>
      </c>
      <c r="Q43" s="62">
        <f t="shared" si="7"/>
        <v>37</v>
      </c>
      <c r="R43" s="61">
        <v>5</v>
      </c>
      <c r="S43" s="62">
        <f t="shared" si="8"/>
        <v>39</v>
      </c>
      <c r="T43" s="61">
        <v>28.6</v>
      </c>
      <c r="U43" s="62">
        <f t="shared" si="9"/>
        <v>42</v>
      </c>
      <c r="V43" s="61">
        <v>26.9</v>
      </c>
      <c r="W43" s="62">
        <f t="shared" si="10"/>
        <v>35</v>
      </c>
      <c r="X43" s="198">
        <v>2.03</v>
      </c>
      <c r="Y43" s="199" t="s">
        <v>104</v>
      </c>
    </row>
    <row r="44" spans="1:25" ht="12" customHeight="1">
      <c r="A44" s="201" t="s">
        <v>45</v>
      </c>
      <c r="B44" s="202">
        <f t="shared" si="0"/>
        <v>37</v>
      </c>
      <c r="C44" s="63">
        <v>27.2</v>
      </c>
      <c r="D44" s="64">
        <f t="shared" si="1"/>
        <v>45</v>
      </c>
      <c r="E44" s="63">
        <v>9.6</v>
      </c>
      <c r="F44" s="64">
        <f t="shared" si="2"/>
        <v>25</v>
      </c>
      <c r="G44" s="63">
        <v>17.6</v>
      </c>
      <c r="H44" s="64">
        <f t="shared" si="3"/>
        <v>15</v>
      </c>
      <c r="I44" s="63">
        <v>13.8</v>
      </c>
      <c r="J44" s="64">
        <f t="shared" si="4"/>
        <v>45</v>
      </c>
      <c r="K44" s="63">
        <v>3.8</v>
      </c>
      <c r="L44" s="63"/>
      <c r="M44" s="64">
        <f t="shared" si="5"/>
        <v>44</v>
      </c>
      <c r="N44" s="63">
        <v>3</v>
      </c>
      <c r="O44" s="64">
        <f t="shared" si="6"/>
        <v>37</v>
      </c>
      <c r="P44" s="63">
        <v>0.9</v>
      </c>
      <c r="Q44" s="64">
        <f t="shared" si="7"/>
        <v>22</v>
      </c>
      <c r="R44" s="63">
        <v>5.4</v>
      </c>
      <c r="S44" s="64">
        <f t="shared" si="8"/>
        <v>43</v>
      </c>
      <c r="T44" s="63">
        <v>28.5</v>
      </c>
      <c r="U44" s="64">
        <f t="shared" si="9"/>
        <v>42</v>
      </c>
      <c r="V44" s="63">
        <v>26.9</v>
      </c>
      <c r="W44" s="64">
        <f t="shared" si="10"/>
        <v>18</v>
      </c>
      <c r="X44" s="203">
        <v>2.2</v>
      </c>
      <c r="Y44" s="204" t="s">
        <v>105</v>
      </c>
    </row>
    <row r="45" spans="1:25" ht="12" customHeight="1">
      <c r="A45" s="201" t="s">
        <v>186</v>
      </c>
      <c r="B45" s="202">
        <f t="shared" si="0"/>
        <v>21</v>
      </c>
      <c r="C45" s="63">
        <v>30.7</v>
      </c>
      <c r="D45" s="64">
        <f t="shared" si="1"/>
        <v>35</v>
      </c>
      <c r="E45" s="63">
        <v>11.7</v>
      </c>
      <c r="F45" s="64">
        <f t="shared" si="2"/>
        <v>20</v>
      </c>
      <c r="G45" s="63">
        <v>19</v>
      </c>
      <c r="H45" s="64">
        <f t="shared" si="3"/>
        <v>18</v>
      </c>
      <c r="I45" s="63">
        <v>12.8</v>
      </c>
      <c r="J45" s="64">
        <f t="shared" si="4"/>
        <v>38</v>
      </c>
      <c r="K45" s="63">
        <v>4.6</v>
      </c>
      <c r="L45" s="63"/>
      <c r="M45" s="64">
        <f t="shared" si="5"/>
        <v>35</v>
      </c>
      <c r="N45" s="63">
        <v>3.6</v>
      </c>
      <c r="O45" s="64">
        <f t="shared" si="6"/>
        <v>34</v>
      </c>
      <c r="P45" s="63">
        <v>1</v>
      </c>
      <c r="Q45" s="64">
        <f t="shared" si="7"/>
        <v>27</v>
      </c>
      <c r="R45" s="63">
        <v>5.2</v>
      </c>
      <c r="S45" s="64">
        <f t="shared" si="8"/>
        <v>43</v>
      </c>
      <c r="T45" s="63">
        <v>28.5</v>
      </c>
      <c r="U45" s="64">
        <f t="shared" si="9"/>
        <v>34</v>
      </c>
      <c r="V45" s="63">
        <v>27.1</v>
      </c>
      <c r="W45" s="64">
        <f t="shared" si="10"/>
        <v>10</v>
      </c>
      <c r="X45" s="203">
        <v>2.31</v>
      </c>
      <c r="Y45" s="204" t="s">
        <v>92</v>
      </c>
    </row>
    <row r="46" spans="1:25" ht="12" customHeight="1">
      <c r="A46" s="201" t="s">
        <v>46</v>
      </c>
      <c r="B46" s="202">
        <f t="shared" si="0"/>
        <v>7</v>
      </c>
      <c r="C46" s="63">
        <v>38.1</v>
      </c>
      <c r="D46" s="64">
        <f t="shared" si="1"/>
        <v>28</v>
      </c>
      <c r="E46" s="63">
        <v>12.2</v>
      </c>
      <c r="F46" s="64">
        <f t="shared" si="2"/>
        <v>6</v>
      </c>
      <c r="G46" s="63">
        <v>25.9</v>
      </c>
      <c r="H46" s="64">
        <f t="shared" si="3"/>
        <v>3</v>
      </c>
      <c r="I46" s="63">
        <v>16.7</v>
      </c>
      <c r="J46" s="64">
        <f t="shared" si="4"/>
        <v>14</v>
      </c>
      <c r="K46" s="63">
        <v>5.6</v>
      </c>
      <c r="L46" s="63"/>
      <c r="M46" s="64">
        <f t="shared" si="5"/>
        <v>10</v>
      </c>
      <c r="N46" s="63">
        <v>4.6</v>
      </c>
      <c r="O46" s="64">
        <f t="shared" si="6"/>
        <v>34</v>
      </c>
      <c r="P46" s="63">
        <v>1</v>
      </c>
      <c r="Q46" s="64">
        <f t="shared" si="7"/>
        <v>45</v>
      </c>
      <c r="R46" s="63">
        <v>4.8</v>
      </c>
      <c r="S46" s="64">
        <f t="shared" si="8"/>
        <v>26</v>
      </c>
      <c r="T46" s="63">
        <v>28.9</v>
      </c>
      <c r="U46" s="64">
        <f t="shared" si="9"/>
        <v>13</v>
      </c>
      <c r="V46" s="63">
        <v>27.4</v>
      </c>
      <c r="W46" s="64">
        <f t="shared" si="10"/>
        <v>7</v>
      </c>
      <c r="X46" s="203">
        <v>2.46</v>
      </c>
      <c r="Y46" s="204" t="s">
        <v>106</v>
      </c>
    </row>
    <row r="47" spans="1:25" ht="12" customHeight="1">
      <c r="A47" s="201" t="s">
        <v>47</v>
      </c>
      <c r="B47" s="202">
        <f t="shared" si="0"/>
        <v>10</v>
      </c>
      <c r="C47" s="63">
        <v>36.7</v>
      </c>
      <c r="D47" s="64">
        <f t="shared" si="1"/>
        <v>32</v>
      </c>
      <c r="E47" s="63">
        <v>11.9</v>
      </c>
      <c r="F47" s="64">
        <f t="shared" si="2"/>
        <v>8</v>
      </c>
      <c r="G47" s="63">
        <v>24.8</v>
      </c>
      <c r="H47" s="64">
        <f t="shared" si="3"/>
        <v>7</v>
      </c>
      <c r="I47" s="63">
        <v>15.9</v>
      </c>
      <c r="J47" s="64">
        <f t="shared" si="4"/>
        <v>21</v>
      </c>
      <c r="K47" s="63">
        <v>5.3</v>
      </c>
      <c r="L47" s="63"/>
      <c r="M47" s="64">
        <f t="shared" si="5"/>
        <v>32</v>
      </c>
      <c r="N47" s="63">
        <v>3.7</v>
      </c>
      <c r="O47" s="64">
        <f t="shared" si="6"/>
        <v>5</v>
      </c>
      <c r="P47" s="63">
        <v>1.6</v>
      </c>
      <c r="Q47" s="64">
        <f t="shared" si="7"/>
        <v>11</v>
      </c>
      <c r="R47" s="63">
        <v>5.8</v>
      </c>
      <c r="S47" s="64">
        <f t="shared" si="8"/>
        <v>22</v>
      </c>
      <c r="T47" s="63">
        <v>29</v>
      </c>
      <c r="U47" s="64">
        <f t="shared" si="9"/>
        <v>9</v>
      </c>
      <c r="V47" s="63">
        <v>27.6</v>
      </c>
      <c r="W47" s="64">
        <f t="shared" si="10"/>
        <v>4</v>
      </c>
      <c r="X47" s="203">
        <v>2.55</v>
      </c>
      <c r="Y47" s="204" t="s">
        <v>78</v>
      </c>
    </row>
    <row r="48" spans="1:25" s="200" customFormat="1" ht="24" customHeight="1">
      <c r="A48" s="196" t="s">
        <v>48</v>
      </c>
      <c r="B48" s="197">
        <f t="shared" si="0"/>
        <v>4</v>
      </c>
      <c r="C48" s="61">
        <v>40.2</v>
      </c>
      <c r="D48" s="62">
        <f t="shared" si="1"/>
        <v>15</v>
      </c>
      <c r="E48" s="61">
        <v>13.2</v>
      </c>
      <c r="F48" s="62">
        <f t="shared" si="2"/>
        <v>4</v>
      </c>
      <c r="G48" s="61">
        <v>27</v>
      </c>
      <c r="H48" s="62">
        <f t="shared" si="3"/>
        <v>2</v>
      </c>
      <c r="I48" s="61">
        <v>17.1</v>
      </c>
      <c r="J48" s="62">
        <f t="shared" si="4"/>
        <v>47</v>
      </c>
      <c r="K48" s="61">
        <v>3.2</v>
      </c>
      <c r="L48" s="61"/>
      <c r="M48" s="62">
        <f t="shared" si="5"/>
        <v>46</v>
      </c>
      <c r="N48" s="61">
        <v>2.7</v>
      </c>
      <c r="O48" s="62">
        <f t="shared" si="6"/>
        <v>46</v>
      </c>
      <c r="P48" s="61">
        <v>0.5</v>
      </c>
      <c r="Q48" s="62">
        <f t="shared" si="7"/>
        <v>39</v>
      </c>
      <c r="R48" s="61">
        <v>4.9</v>
      </c>
      <c r="S48" s="62">
        <f t="shared" si="8"/>
        <v>46</v>
      </c>
      <c r="T48" s="61">
        <v>28.4</v>
      </c>
      <c r="U48" s="62">
        <f t="shared" si="9"/>
        <v>37</v>
      </c>
      <c r="V48" s="61">
        <v>27</v>
      </c>
      <c r="W48" s="62">
        <f t="shared" si="10"/>
        <v>32</v>
      </c>
      <c r="X48" s="198">
        <v>2.11</v>
      </c>
      <c r="Y48" s="199" t="s">
        <v>107</v>
      </c>
    </row>
    <row r="49" spans="1:25" ht="12" customHeight="1">
      <c r="A49" s="201" t="s">
        <v>49</v>
      </c>
      <c r="B49" s="202">
        <f t="shared" si="0"/>
        <v>3</v>
      </c>
      <c r="C49" s="63">
        <v>41.6</v>
      </c>
      <c r="D49" s="64">
        <f t="shared" si="1"/>
        <v>10</v>
      </c>
      <c r="E49" s="63">
        <v>13.5</v>
      </c>
      <c r="F49" s="64">
        <f t="shared" si="2"/>
        <v>3</v>
      </c>
      <c r="G49" s="63">
        <v>28.1</v>
      </c>
      <c r="H49" s="64">
        <f t="shared" si="3"/>
        <v>7</v>
      </c>
      <c r="I49" s="63">
        <v>15.9</v>
      </c>
      <c r="J49" s="64">
        <f t="shared" si="4"/>
        <v>18</v>
      </c>
      <c r="K49" s="63">
        <v>5.4</v>
      </c>
      <c r="L49" s="63"/>
      <c r="M49" s="64">
        <f t="shared" si="5"/>
        <v>12</v>
      </c>
      <c r="N49" s="63">
        <v>4.5</v>
      </c>
      <c r="O49" s="64">
        <f t="shared" si="6"/>
        <v>37</v>
      </c>
      <c r="P49" s="63">
        <v>0.9</v>
      </c>
      <c r="Q49" s="64">
        <f t="shared" si="7"/>
        <v>32</v>
      </c>
      <c r="R49" s="63">
        <v>5.1</v>
      </c>
      <c r="S49" s="64">
        <f t="shared" si="8"/>
        <v>26</v>
      </c>
      <c r="T49" s="63">
        <v>28.9</v>
      </c>
      <c r="U49" s="64">
        <f t="shared" si="9"/>
        <v>12</v>
      </c>
      <c r="V49" s="63">
        <v>27.5</v>
      </c>
      <c r="W49" s="64">
        <f t="shared" si="10"/>
        <v>27</v>
      </c>
      <c r="X49" s="203">
        <v>2.15</v>
      </c>
      <c r="Y49" s="204" t="s">
        <v>89</v>
      </c>
    </row>
    <row r="50" spans="1:25" ht="12" customHeight="1">
      <c r="A50" s="201" t="s">
        <v>50</v>
      </c>
      <c r="B50" s="202">
        <f t="shared" si="0"/>
        <v>5</v>
      </c>
      <c r="C50" s="63">
        <v>39.2</v>
      </c>
      <c r="D50" s="64">
        <f t="shared" si="1"/>
        <v>28</v>
      </c>
      <c r="E50" s="63">
        <v>12.2</v>
      </c>
      <c r="F50" s="64">
        <f t="shared" si="2"/>
        <v>4</v>
      </c>
      <c r="G50" s="63">
        <v>27</v>
      </c>
      <c r="H50" s="64">
        <f t="shared" si="3"/>
        <v>11</v>
      </c>
      <c r="I50" s="63">
        <v>15</v>
      </c>
      <c r="J50" s="64">
        <f t="shared" si="4"/>
        <v>18</v>
      </c>
      <c r="K50" s="63">
        <v>5.4</v>
      </c>
      <c r="L50" s="63"/>
      <c r="M50" s="64">
        <f t="shared" si="5"/>
        <v>25</v>
      </c>
      <c r="N50" s="63">
        <v>4</v>
      </c>
      <c r="O50" s="64">
        <f t="shared" si="6"/>
        <v>12</v>
      </c>
      <c r="P50" s="63">
        <v>1.3</v>
      </c>
      <c r="Q50" s="64">
        <f t="shared" si="7"/>
        <v>27</v>
      </c>
      <c r="R50" s="63">
        <v>5.2</v>
      </c>
      <c r="S50" s="64">
        <f t="shared" si="8"/>
        <v>39</v>
      </c>
      <c r="T50" s="63">
        <v>28.6</v>
      </c>
      <c r="U50" s="64">
        <f t="shared" si="9"/>
        <v>25</v>
      </c>
      <c r="V50" s="63">
        <v>27.2</v>
      </c>
      <c r="W50" s="64">
        <f t="shared" si="10"/>
        <v>14</v>
      </c>
      <c r="X50" s="203">
        <v>2.22</v>
      </c>
      <c r="Y50" s="204" t="s">
        <v>108</v>
      </c>
    </row>
    <row r="51" spans="1:25" ht="12" customHeight="1">
      <c r="A51" s="192" t="s">
        <v>51</v>
      </c>
      <c r="B51" s="202">
        <f t="shared" si="0"/>
        <v>8</v>
      </c>
      <c r="C51" s="65">
        <v>37.4</v>
      </c>
      <c r="D51" s="66">
        <f t="shared" si="1"/>
        <v>25</v>
      </c>
      <c r="E51" s="65">
        <v>12.6</v>
      </c>
      <c r="F51" s="66">
        <f t="shared" si="2"/>
        <v>8</v>
      </c>
      <c r="G51" s="65">
        <v>24.8</v>
      </c>
      <c r="H51" s="66">
        <f t="shared" si="3"/>
        <v>4</v>
      </c>
      <c r="I51" s="65">
        <v>16.5</v>
      </c>
      <c r="J51" s="66">
        <f t="shared" si="4"/>
        <v>18</v>
      </c>
      <c r="K51" s="65">
        <v>5.4</v>
      </c>
      <c r="L51" s="65"/>
      <c r="M51" s="66">
        <f t="shared" si="5"/>
        <v>22</v>
      </c>
      <c r="N51" s="65">
        <v>4.1</v>
      </c>
      <c r="O51" s="66">
        <f t="shared" si="6"/>
        <v>12</v>
      </c>
      <c r="P51" s="65">
        <v>1.3</v>
      </c>
      <c r="Q51" s="66">
        <f t="shared" si="7"/>
        <v>27</v>
      </c>
      <c r="R51" s="65">
        <v>5.2</v>
      </c>
      <c r="S51" s="66">
        <f t="shared" si="8"/>
        <v>31</v>
      </c>
      <c r="T51" s="65">
        <v>28.8</v>
      </c>
      <c r="U51" s="66">
        <f t="shared" si="9"/>
        <v>13</v>
      </c>
      <c r="V51" s="65">
        <v>27.4</v>
      </c>
      <c r="W51" s="66">
        <f t="shared" si="10"/>
        <v>12</v>
      </c>
      <c r="X51" s="205">
        <v>2.26</v>
      </c>
      <c r="Y51" s="206" t="s">
        <v>96</v>
      </c>
    </row>
    <row r="52" spans="1:25" ht="12" customHeight="1">
      <c r="A52" s="201" t="s">
        <v>52</v>
      </c>
      <c r="B52" s="202">
        <f t="shared" si="0"/>
        <v>1</v>
      </c>
      <c r="C52" s="63">
        <v>46.6</v>
      </c>
      <c r="D52" s="64">
        <f t="shared" si="1"/>
        <v>27</v>
      </c>
      <c r="E52" s="63">
        <v>12.4</v>
      </c>
      <c r="F52" s="64">
        <f t="shared" si="2"/>
        <v>1</v>
      </c>
      <c r="G52" s="63">
        <v>34.1</v>
      </c>
      <c r="H52" s="64">
        <f t="shared" si="3"/>
        <v>41</v>
      </c>
      <c r="I52" s="63">
        <v>9.1</v>
      </c>
      <c r="J52" s="64">
        <f t="shared" si="4"/>
        <v>40</v>
      </c>
      <c r="K52" s="63">
        <v>4.5</v>
      </c>
      <c r="L52" s="63"/>
      <c r="M52" s="64">
        <f t="shared" si="5"/>
        <v>39</v>
      </c>
      <c r="N52" s="63">
        <v>3.4</v>
      </c>
      <c r="O52" s="64">
        <f t="shared" si="6"/>
        <v>27</v>
      </c>
      <c r="P52" s="63">
        <v>1.1</v>
      </c>
      <c r="Q52" s="64">
        <f t="shared" si="7"/>
        <v>27</v>
      </c>
      <c r="R52" s="63">
        <v>5.2</v>
      </c>
      <c r="S52" s="64">
        <f t="shared" si="8"/>
        <v>47</v>
      </c>
      <c r="T52" s="63">
        <v>28.3</v>
      </c>
      <c r="U52" s="64">
        <f t="shared" si="9"/>
        <v>37</v>
      </c>
      <c r="V52" s="63">
        <v>27</v>
      </c>
      <c r="W52" s="64">
        <f t="shared" si="10"/>
        <v>4</v>
      </c>
      <c r="X52" s="203">
        <v>2.55</v>
      </c>
      <c r="Y52" s="204" t="s">
        <v>75</v>
      </c>
    </row>
    <row r="53" spans="1:25" s="200" customFormat="1" ht="24" customHeight="1">
      <c r="A53" s="196" t="s">
        <v>53</v>
      </c>
      <c r="B53" s="197">
        <f t="shared" si="0"/>
        <v>2</v>
      </c>
      <c r="C53" s="61">
        <v>45</v>
      </c>
      <c r="D53" s="62">
        <f t="shared" si="1"/>
        <v>10</v>
      </c>
      <c r="E53" s="61">
        <v>13.5</v>
      </c>
      <c r="F53" s="62">
        <f t="shared" si="2"/>
        <v>2</v>
      </c>
      <c r="G53" s="61">
        <v>31.5</v>
      </c>
      <c r="H53" s="62">
        <f t="shared" si="3"/>
        <v>16</v>
      </c>
      <c r="I53" s="61">
        <v>13.7</v>
      </c>
      <c r="J53" s="62">
        <f t="shared" si="4"/>
        <v>11</v>
      </c>
      <c r="K53" s="61">
        <v>5.8</v>
      </c>
      <c r="L53" s="61"/>
      <c r="M53" s="62">
        <f t="shared" si="5"/>
        <v>12</v>
      </c>
      <c r="N53" s="61">
        <v>4.5</v>
      </c>
      <c r="O53" s="62">
        <f t="shared" si="6"/>
        <v>12</v>
      </c>
      <c r="P53" s="61">
        <v>1.3</v>
      </c>
      <c r="Q53" s="62">
        <f t="shared" si="7"/>
        <v>32</v>
      </c>
      <c r="R53" s="61">
        <v>5.1</v>
      </c>
      <c r="S53" s="62">
        <f t="shared" si="8"/>
        <v>36</v>
      </c>
      <c r="T53" s="61">
        <v>28.7</v>
      </c>
      <c r="U53" s="62">
        <f t="shared" si="9"/>
        <v>25</v>
      </c>
      <c r="V53" s="61">
        <v>27.2</v>
      </c>
      <c r="W53" s="62">
        <f t="shared" si="10"/>
        <v>20</v>
      </c>
      <c r="X53" s="198">
        <v>2.18</v>
      </c>
      <c r="Y53" s="199" t="s">
        <v>109</v>
      </c>
    </row>
    <row r="54" spans="1:25" ht="12" customHeight="1">
      <c r="A54" s="207" t="s">
        <v>54</v>
      </c>
      <c r="B54" s="208">
        <f t="shared" si="0"/>
        <v>16</v>
      </c>
      <c r="C54" s="209">
        <v>32.9</v>
      </c>
      <c r="D54" s="67">
        <f t="shared" si="1"/>
        <v>1</v>
      </c>
      <c r="E54" s="209">
        <v>16.2</v>
      </c>
      <c r="F54" s="67">
        <f t="shared" si="2"/>
        <v>29</v>
      </c>
      <c r="G54" s="209">
        <v>16.7</v>
      </c>
      <c r="H54" s="67">
        <f t="shared" si="3"/>
        <v>37</v>
      </c>
      <c r="I54" s="209">
        <v>9.8</v>
      </c>
      <c r="J54" s="67">
        <f t="shared" si="4"/>
        <v>8</v>
      </c>
      <c r="K54" s="209">
        <v>6</v>
      </c>
      <c r="L54" s="63"/>
      <c r="M54" s="67">
        <f t="shared" si="5"/>
        <v>5</v>
      </c>
      <c r="N54" s="209">
        <v>4.8</v>
      </c>
      <c r="O54" s="67">
        <f t="shared" si="6"/>
        <v>17</v>
      </c>
      <c r="P54" s="209">
        <v>1.2</v>
      </c>
      <c r="Q54" s="67">
        <f t="shared" si="7"/>
        <v>4</v>
      </c>
      <c r="R54" s="209">
        <v>6.3</v>
      </c>
      <c r="S54" s="67">
        <f t="shared" si="8"/>
        <v>36</v>
      </c>
      <c r="T54" s="209">
        <v>28.7</v>
      </c>
      <c r="U54" s="67">
        <f t="shared" si="9"/>
        <v>25</v>
      </c>
      <c r="V54" s="209">
        <v>27.2</v>
      </c>
      <c r="W54" s="67">
        <f t="shared" si="10"/>
        <v>1</v>
      </c>
      <c r="X54" s="210">
        <v>2.77</v>
      </c>
      <c r="Y54" s="211" t="s">
        <v>110</v>
      </c>
    </row>
    <row r="55" spans="1:25" ht="13.5">
      <c r="A55" s="212" t="s">
        <v>113</v>
      </c>
      <c r="B55" s="213" t="s">
        <v>197</v>
      </c>
      <c r="C55" s="213"/>
      <c r="D55" s="213"/>
      <c r="E55" s="213"/>
      <c r="F55" s="213"/>
      <c r="G55" s="213"/>
      <c r="H55" s="214"/>
      <c r="J55" s="213"/>
      <c r="K55" s="213"/>
      <c r="L55" s="213"/>
      <c r="M55" s="213"/>
      <c r="N55" s="213"/>
      <c r="O55" s="213"/>
      <c r="P55" s="213"/>
      <c r="Q55" s="214"/>
      <c r="S55" s="214"/>
      <c r="U55" s="214"/>
      <c r="W55" s="214"/>
      <c r="Y55" s="213"/>
    </row>
    <row r="56" spans="1:23" ht="13.5">
      <c r="A56" s="213"/>
      <c r="B56" s="215" t="s">
        <v>184</v>
      </c>
      <c r="C56" s="213"/>
      <c r="D56" s="213"/>
      <c r="E56" s="213"/>
      <c r="F56" s="213"/>
      <c r="G56" s="213"/>
      <c r="H56" s="214"/>
      <c r="J56" s="213"/>
      <c r="K56" s="213"/>
      <c r="L56" s="213"/>
      <c r="M56" s="213"/>
      <c r="N56" s="213"/>
      <c r="O56" s="213"/>
      <c r="P56" s="213"/>
      <c r="Q56" s="214"/>
      <c r="S56" s="214"/>
      <c r="U56" s="214"/>
      <c r="W56" s="214"/>
    </row>
    <row r="57" spans="2:23" ht="13.5">
      <c r="B57" s="215" t="s">
        <v>185</v>
      </c>
      <c r="C57" s="213"/>
      <c r="D57" s="213"/>
      <c r="E57" s="213"/>
      <c r="F57" s="213"/>
      <c r="G57" s="213"/>
      <c r="H57" s="214"/>
      <c r="J57" s="213"/>
      <c r="K57" s="213"/>
      <c r="L57" s="213"/>
      <c r="M57" s="213"/>
      <c r="N57" s="213"/>
      <c r="O57" s="213"/>
      <c r="P57" s="213"/>
      <c r="Q57" s="214"/>
      <c r="S57" s="214"/>
      <c r="U57" s="214"/>
      <c r="W57" s="214"/>
    </row>
  </sheetData>
  <mergeCells count="16">
    <mergeCell ref="Y4:Y6"/>
    <mergeCell ref="W4:X5"/>
    <mergeCell ref="A4:A6"/>
    <mergeCell ref="B4:C5"/>
    <mergeCell ref="H4:I5"/>
    <mergeCell ref="S5:T5"/>
    <mergeCell ref="U5:V5"/>
    <mergeCell ref="D5:E5"/>
    <mergeCell ref="F5:G5"/>
    <mergeCell ref="S4:V4"/>
    <mergeCell ref="D4:G4"/>
    <mergeCell ref="J4:K5"/>
    <mergeCell ref="M4:P4"/>
    <mergeCell ref="Q4:R5"/>
    <mergeCell ref="M5:N5"/>
    <mergeCell ref="O5:P5"/>
  </mergeCells>
  <printOptions horizontalCentered="1" verticalCentered="1"/>
  <pageMargins left="0.5905511811023623" right="0.3937007874015748" top="0" bottom="0" header="0.5118110236220472" footer="0.5118110236220472"/>
  <pageSetup blackAndWhite="1" fitToWidth="2" fitToHeight="1" orientation="portrait" paperSize="9" scale="95" r:id="rId1"/>
  <colBreaks count="1" manualBreakCount="1">
    <brk id="10" max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W56"/>
  <sheetViews>
    <sheetView workbookViewId="0" topLeftCell="A1">
      <selection activeCell="A1" sqref="A1"/>
    </sheetView>
  </sheetViews>
  <sheetFormatPr defaultColWidth="9.00390625" defaultRowHeight="13.5"/>
  <cols>
    <col min="1" max="1" width="8.625" style="161" customWidth="1"/>
    <col min="2" max="2" width="6.625" style="161" customWidth="1"/>
    <col min="3" max="3" width="11.625" style="161" customWidth="1"/>
    <col min="4" max="4" width="6.625" style="161" customWidth="1"/>
    <col min="5" max="5" width="11.625" style="161" customWidth="1"/>
    <col min="6" max="6" width="6.625" style="161" customWidth="1"/>
    <col min="7" max="7" width="11.625" style="161" customWidth="1"/>
    <col min="8" max="8" width="6.625" style="162" customWidth="1"/>
    <col min="9" max="9" width="11.625" style="162" customWidth="1"/>
    <col min="10" max="10" width="6.625" style="161" customWidth="1"/>
    <col min="11" max="11" width="11.625" style="161" customWidth="1"/>
    <col min="12" max="12" width="3.625" style="72" customWidth="1"/>
    <col min="13" max="13" width="6.625" style="161" customWidth="1"/>
    <col min="14" max="14" width="11.625" style="161" customWidth="1"/>
    <col min="15" max="15" width="6.625" style="161" customWidth="1"/>
    <col min="16" max="16" width="11.625" style="161" customWidth="1"/>
    <col min="17" max="17" width="6.625" style="162" customWidth="1"/>
    <col min="18" max="18" width="11.625" style="162" customWidth="1"/>
    <col min="19" max="19" width="6.625" style="162" customWidth="1"/>
    <col min="20" max="20" width="11.625" style="162" customWidth="1"/>
    <col min="21" max="21" width="6.625" style="162" customWidth="1"/>
    <col min="22" max="22" width="11.625" style="162" customWidth="1"/>
    <col min="23" max="23" width="5.625" style="213" customWidth="1"/>
    <col min="24" max="16384" width="9.00390625" style="159" customWidth="1"/>
  </cols>
  <sheetData>
    <row r="1" spans="1:23" ht="18.75">
      <c r="A1" s="155" t="s">
        <v>55</v>
      </c>
      <c r="B1" s="156"/>
      <c r="C1" s="156"/>
      <c r="D1" s="157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</row>
    <row r="2" spans="1:23" ht="18.75">
      <c r="A2" s="155" t="s">
        <v>114</v>
      </c>
      <c r="B2" s="160"/>
      <c r="D2" s="157" t="s">
        <v>178</v>
      </c>
      <c r="E2" s="158"/>
      <c r="F2" s="158"/>
      <c r="G2" s="158"/>
      <c r="H2" s="158"/>
      <c r="I2" s="158"/>
      <c r="J2" s="158"/>
      <c r="K2" s="158"/>
      <c r="L2" s="158"/>
      <c r="M2" s="157" t="s">
        <v>173</v>
      </c>
      <c r="N2" s="158"/>
      <c r="O2" s="158"/>
      <c r="P2" s="158"/>
      <c r="Q2" s="158"/>
      <c r="R2" s="158"/>
      <c r="S2" s="158"/>
      <c r="T2" s="158"/>
      <c r="U2" s="158"/>
      <c r="V2" s="158"/>
      <c r="W2" s="158"/>
    </row>
    <row r="3" spans="1:23" ht="14.25" thickBot="1">
      <c r="A3" s="164"/>
      <c r="B3" s="164"/>
      <c r="C3" s="164"/>
      <c r="D3" s="164"/>
      <c r="E3" s="164"/>
      <c r="F3" s="164"/>
      <c r="G3" s="164"/>
      <c r="H3" s="165"/>
      <c r="I3" s="165"/>
      <c r="J3" s="164"/>
      <c r="K3" s="164"/>
      <c r="M3" s="164"/>
      <c r="N3" s="164"/>
      <c r="O3" s="164"/>
      <c r="P3" s="164"/>
      <c r="Q3" s="165"/>
      <c r="R3" s="165"/>
      <c r="S3" s="165"/>
      <c r="T3" s="165"/>
      <c r="U3" s="165"/>
      <c r="V3" s="165"/>
      <c r="W3" s="166" t="s">
        <v>196</v>
      </c>
    </row>
    <row r="4" spans="1:23" ht="10.5" customHeight="1">
      <c r="A4" s="167" t="s">
        <v>1</v>
      </c>
      <c r="B4" s="168" t="s">
        <v>115</v>
      </c>
      <c r="C4" s="169"/>
      <c r="D4" s="216"/>
      <c r="E4" s="216"/>
      <c r="F4" s="216"/>
      <c r="G4" s="216"/>
      <c r="H4" s="216"/>
      <c r="I4" s="216"/>
      <c r="J4" s="216"/>
      <c r="K4" s="216"/>
      <c r="L4" s="78"/>
      <c r="M4" s="216"/>
      <c r="N4" s="216"/>
      <c r="O4" s="216"/>
      <c r="P4" s="216"/>
      <c r="Q4" s="216"/>
      <c r="R4" s="216"/>
      <c r="S4" s="216"/>
      <c r="T4" s="217"/>
      <c r="U4" s="168" t="s">
        <v>123</v>
      </c>
      <c r="V4" s="169"/>
      <c r="W4" s="173" t="s">
        <v>1</v>
      </c>
    </row>
    <row r="5" spans="1:23" ht="33" customHeight="1">
      <c r="A5" s="174"/>
      <c r="B5" s="175"/>
      <c r="C5" s="176"/>
      <c r="D5" s="175" t="s">
        <v>117</v>
      </c>
      <c r="E5" s="178"/>
      <c r="F5" s="175" t="s">
        <v>180</v>
      </c>
      <c r="G5" s="178"/>
      <c r="H5" s="175" t="s">
        <v>118</v>
      </c>
      <c r="I5" s="178"/>
      <c r="J5" s="175" t="s">
        <v>119</v>
      </c>
      <c r="K5" s="218"/>
      <c r="L5" s="78"/>
      <c r="M5" s="181" t="s">
        <v>120</v>
      </c>
      <c r="N5" s="178"/>
      <c r="O5" s="175" t="s">
        <v>121</v>
      </c>
      <c r="P5" s="178"/>
      <c r="Q5" s="175" t="s">
        <v>122</v>
      </c>
      <c r="R5" s="178"/>
      <c r="S5" s="175" t="s">
        <v>181</v>
      </c>
      <c r="T5" s="178"/>
      <c r="U5" s="175"/>
      <c r="V5" s="181"/>
      <c r="W5" s="184"/>
    </row>
    <row r="6" spans="1:23" ht="27.75" customHeight="1">
      <c r="A6" s="185"/>
      <c r="B6" s="186" t="s">
        <v>2</v>
      </c>
      <c r="C6" s="187" t="s">
        <v>116</v>
      </c>
      <c r="D6" s="186" t="s">
        <v>2</v>
      </c>
      <c r="E6" s="187" t="s">
        <v>116</v>
      </c>
      <c r="F6" s="186" t="s">
        <v>2</v>
      </c>
      <c r="G6" s="187" t="s">
        <v>116</v>
      </c>
      <c r="H6" s="186" t="s">
        <v>2</v>
      </c>
      <c r="I6" s="187" t="s">
        <v>116</v>
      </c>
      <c r="J6" s="186" t="s">
        <v>2</v>
      </c>
      <c r="K6" s="190" t="s">
        <v>116</v>
      </c>
      <c r="L6" s="78"/>
      <c r="M6" s="189" t="s">
        <v>2</v>
      </c>
      <c r="N6" s="187" t="s">
        <v>116</v>
      </c>
      <c r="O6" s="186" t="s">
        <v>2</v>
      </c>
      <c r="P6" s="187" t="s">
        <v>116</v>
      </c>
      <c r="Q6" s="186" t="s">
        <v>2</v>
      </c>
      <c r="R6" s="187" t="s">
        <v>116</v>
      </c>
      <c r="S6" s="186" t="s">
        <v>2</v>
      </c>
      <c r="T6" s="187" t="s">
        <v>116</v>
      </c>
      <c r="U6" s="186" t="s">
        <v>2</v>
      </c>
      <c r="V6" s="187" t="s">
        <v>116</v>
      </c>
      <c r="W6" s="191"/>
    </row>
    <row r="7" spans="1:23" ht="12" customHeight="1">
      <c r="A7" s="192" t="s">
        <v>8</v>
      </c>
      <c r="B7" s="193"/>
      <c r="C7" s="59">
        <v>245.4</v>
      </c>
      <c r="D7" s="60"/>
      <c r="E7" s="59">
        <v>39.3</v>
      </c>
      <c r="F7" s="60"/>
      <c r="G7" s="59">
        <v>30.8</v>
      </c>
      <c r="H7" s="60"/>
      <c r="I7" s="59">
        <v>27</v>
      </c>
      <c r="J7" s="60"/>
      <c r="K7" s="59">
        <v>16.8</v>
      </c>
      <c r="L7" s="219"/>
      <c r="M7" s="60"/>
      <c r="N7" s="59">
        <v>45</v>
      </c>
      <c r="O7" s="60"/>
      <c r="P7" s="59">
        <v>7.836592964903796</v>
      </c>
      <c r="Q7" s="60"/>
      <c r="R7" s="59">
        <v>8.2</v>
      </c>
      <c r="S7" s="60"/>
      <c r="T7" s="59">
        <v>12.6</v>
      </c>
      <c r="U7" s="60"/>
      <c r="V7" s="59">
        <v>104.7</v>
      </c>
      <c r="W7" s="195" t="s">
        <v>71</v>
      </c>
    </row>
    <row r="8" spans="1:23" s="200" customFormat="1" ht="24" customHeight="1">
      <c r="A8" s="196" t="s">
        <v>9</v>
      </c>
      <c r="B8" s="197">
        <f aca="true" t="shared" si="0" ref="B8:B54">IF(C8="","",RANK(C8,C$8:C$54))</f>
        <v>21</v>
      </c>
      <c r="C8" s="61">
        <v>262.5</v>
      </c>
      <c r="D8" s="62">
        <f aca="true" t="shared" si="1" ref="D8:D54">IF(E8="","",RANK(E8,E$8:E$54))</f>
        <v>36</v>
      </c>
      <c r="E8" s="61">
        <f>100000*2112/5645000</f>
        <v>37.41364038972542</v>
      </c>
      <c r="F8" s="62">
        <f aca="true" t="shared" si="2" ref="F8:F54">IF(G8="","",RANK(G8,G$8:G$54))</f>
        <v>16</v>
      </c>
      <c r="G8" s="61">
        <v>34.6</v>
      </c>
      <c r="H8" s="62">
        <f aca="true" t="shared" si="3" ref="H8:H54">IF(I8="","",RANK(I8,I$8:I$54))</f>
        <v>32</v>
      </c>
      <c r="I8" s="61">
        <v>22.9</v>
      </c>
      <c r="J8" s="62">
        <f aca="true" t="shared" si="4" ref="J8:J54">IF(K8="","",RANK(K8,K$8:K$54))</f>
        <v>8</v>
      </c>
      <c r="K8" s="61">
        <v>20.7</v>
      </c>
      <c r="L8" s="220"/>
      <c r="M8" s="62">
        <f aca="true" t="shared" si="5" ref="M8:M54">IF(N8="","",RANK(N8,N$8:N$54))</f>
        <v>11</v>
      </c>
      <c r="N8" s="61">
        <v>50.8</v>
      </c>
      <c r="O8" s="62">
        <f aca="true" t="shared" si="6" ref="O8:O54">IF(P8="","",RANK(P8,P$8:P$54))</f>
        <v>5</v>
      </c>
      <c r="P8" s="61">
        <v>8.520814880425155</v>
      </c>
      <c r="Q8" s="62">
        <f aca="true" t="shared" si="7" ref="Q8:Q54">IF(R8="","",RANK(R8,R$8:R$54))</f>
        <v>18</v>
      </c>
      <c r="R8" s="61">
        <v>8.7</v>
      </c>
      <c r="S8" s="62">
        <f aca="true" t="shared" si="8" ref="S8:S54">IF(T8="","",RANK(T8,T$8:T$54))</f>
        <v>21</v>
      </c>
      <c r="T8" s="61">
        <v>14.7</v>
      </c>
      <c r="U8" s="62">
        <f aca="true" t="shared" si="9" ref="U8:U54">IF(V8="","",RANK(V8,V$8:V$54))</f>
        <v>35</v>
      </c>
      <c r="V8" s="61">
        <v>103.2</v>
      </c>
      <c r="W8" s="199" t="s">
        <v>72</v>
      </c>
    </row>
    <row r="9" spans="1:23" ht="12" customHeight="1">
      <c r="A9" s="201" t="s">
        <v>10</v>
      </c>
      <c r="B9" s="202">
        <f t="shared" si="0"/>
        <v>10</v>
      </c>
      <c r="C9" s="63">
        <v>283.2</v>
      </c>
      <c r="D9" s="64">
        <f t="shared" si="1"/>
        <v>18</v>
      </c>
      <c r="E9" s="63">
        <v>44.4</v>
      </c>
      <c r="F9" s="64">
        <f t="shared" si="2"/>
        <v>2</v>
      </c>
      <c r="G9" s="63">
        <v>43.4</v>
      </c>
      <c r="H9" s="64">
        <f t="shared" si="3"/>
        <v>27</v>
      </c>
      <c r="I9" s="63">
        <v>24.4</v>
      </c>
      <c r="J9" s="64">
        <f t="shared" si="4"/>
        <v>10</v>
      </c>
      <c r="K9" s="63">
        <f>100000*300/1458000</f>
        <v>20.5761316872428</v>
      </c>
      <c r="L9" s="221"/>
      <c r="M9" s="64">
        <f t="shared" si="5"/>
        <v>19</v>
      </c>
      <c r="N9" s="63">
        <v>49.5</v>
      </c>
      <c r="O9" s="64">
        <f t="shared" si="6"/>
        <v>7</v>
      </c>
      <c r="P9" s="63">
        <v>8.23045267489712</v>
      </c>
      <c r="Q9" s="64">
        <f t="shared" si="7"/>
        <v>43</v>
      </c>
      <c r="R9" s="63">
        <v>6.5</v>
      </c>
      <c r="S9" s="64">
        <f t="shared" si="8"/>
        <v>8</v>
      </c>
      <c r="T9" s="63">
        <v>17.5</v>
      </c>
      <c r="U9" s="64">
        <f t="shared" si="9"/>
        <v>11</v>
      </c>
      <c r="V9" s="63">
        <v>138.5</v>
      </c>
      <c r="W9" s="204" t="s">
        <v>73</v>
      </c>
    </row>
    <row r="10" spans="1:23" ht="12" customHeight="1">
      <c r="A10" s="201" t="s">
        <v>11</v>
      </c>
      <c r="B10" s="202">
        <f t="shared" si="0"/>
        <v>17</v>
      </c>
      <c r="C10" s="63">
        <v>274.3</v>
      </c>
      <c r="D10" s="64">
        <f t="shared" si="1"/>
        <v>12</v>
      </c>
      <c r="E10" s="63">
        <f>100000*641/1396000</f>
        <v>45.91690544412607</v>
      </c>
      <c r="F10" s="64">
        <f t="shared" si="2"/>
        <v>4</v>
      </c>
      <c r="G10" s="63">
        <v>39.5</v>
      </c>
      <c r="H10" s="64">
        <f t="shared" si="3"/>
        <v>45</v>
      </c>
      <c r="I10" s="63">
        <v>18</v>
      </c>
      <c r="J10" s="64">
        <f t="shared" si="4"/>
        <v>7</v>
      </c>
      <c r="K10" s="63">
        <v>21</v>
      </c>
      <c r="L10" s="221"/>
      <c r="M10" s="64">
        <f t="shared" si="5"/>
        <v>13</v>
      </c>
      <c r="N10" s="63">
        <v>50.6</v>
      </c>
      <c r="O10" s="64">
        <f t="shared" si="6"/>
        <v>17</v>
      </c>
      <c r="P10" s="63">
        <v>7.951289398280802</v>
      </c>
      <c r="Q10" s="64">
        <f t="shared" si="7"/>
        <v>35</v>
      </c>
      <c r="R10" s="63">
        <v>7.4</v>
      </c>
      <c r="S10" s="64">
        <f t="shared" si="8"/>
        <v>10</v>
      </c>
      <c r="T10" s="63">
        <v>17.4</v>
      </c>
      <c r="U10" s="64">
        <f t="shared" si="9"/>
        <v>4</v>
      </c>
      <c r="V10" s="63">
        <v>158.4</v>
      </c>
      <c r="W10" s="204" t="s">
        <v>74</v>
      </c>
    </row>
    <row r="11" spans="1:23" ht="12" customHeight="1">
      <c r="A11" s="201" t="s">
        <v>12</v>
      </c>
      <c r="B11" s="202">
        <f t="shared" si="0"/>
        <v>39</v>
      </c>
      <c r="C11" s="63">
        <v>236.4</v>
      </c>
      <c r="D11" s="64">
        <f t="shared" si="1"/>
        <v>40</v>
      </c>
      <c r="E11" s="63">
        <v>36</v>
      </c>
      <c r="F11" s="64">
        <f t="shared" si="2"/>
        <v>23</v>
      </c>
      <c r="G11" s="63">
        <v>32</v>
      </c>
      <c r="H11" s="64">
        <f t="shared" si="3"/>
        <v>46</v>
      </c>
      <c r="I11" s="63">
        <v>17.4</v>
      </c>
      <c r="J11" s="64">
        <f t="shared" si="4"/>
        <v>18</v>
      </c>
      <c r="K11" s="63">
        <f>100000*448/2360000</f>
        <v>18.983050847457626</v>
      </c>
      <c r="L11" s="221"/>
      <c r="M11" s="64">
        <f t="shared" si="5"/>
        <v>37</v>
      </c>
      <c r="N11" s="63">
        <v>43.6</v>
      </c>
      <c r="O11" s="64">
        <f t="shared" si="6"/>
        <v>24</v>
      </c>
      <c r="P11" s="63">
        <v>7.627118644067797</v>
      </c>
      <c r="Q11" s="64">
        <f t="shared" si="7"/>
        <v>42</v>
      </c>
      <c r="R11" s="63">
        <v>6.8</v>
      </c>
      <c r="S11" s="64">
        <f t="shared" si="8"/>
        <v>28</v>
      </c>
      <c r="T11" s="63">
        <f>100000*308/2360000</f>
        <v>13.05084745762712</v>
      </c>
      <c r="U11" s="64">
        <f t="shared" si="9"/>
        <v>26</v>
      </c>
      <c r="V11" s="63">
        <v>115.6</v>
      </c>
      <c r="W11" s="204" t="s">
        <v>75</v>
      </c>
    </row>
    <row r="12" spans="1:23" ht="12" customHeight="1">
      <c r="A12" s="201" t="s">
        <v>13</v>
      </c>
      <c r="B12" s="202">
        <f t="shared" si="0"/>
        <v>1</v>
      </c>
      <c r="C12" s="63">
        <v>330.9</v>
      </c>
      <c r="D12" s="64">
        <f t="shared" si="1"/>
        <v>1</v>
      </c>
      <c r="E12" s="63">
        <v>69.5</v>
      </c>
      <c r="F12" s="64">
        <f t="shared" si="2"/>
        <v>1</v>
      </c>
      <c r="G12" s="63">
        <v>46.4</v>
      </c>
      <c r="H12" s="64">
        <f t="shared" si="3"/>
        <v>30</v>
      </c>
      <c r="I12" s="63">
        <v>23.8</v>
      </c>
      <c r="J12" s="64">
        <f t="shared" si="4"/>
        <v>5</v>
      </c>
      <c r="K12" s="63">
        <v>22.3</v>
      </c>
      <c r="L12" s="221"/>
      <c r="M12" s="64">
        <f t="shared" si="5"/>
        <v>20</v>
      </c>
      <c r="N12" s="63">
        <f>100000*576/1164000</f>
        <v>49.48453608247423</v>
      </c>
      <c r="O12" s="64">
        <f t="shared" si="6"/>
        <v>35</v>
      </c>
      <c r="P12" s="63">
        <v>7.0446735395189</v>
      </c>
      <c r="Q12" s="64">
        <f t="shared" si="7"/>
        <v>3</v>
      </c>
      <c r="R12" s="63">
        <v>10.6</v>
      </c>
      <c r="S12" s="64">
        <f t="shared" si="8"/>
        <v>1</v>
      </c>
      <c r="T12" s="63">
        <v>22.8</v>
      </c>
      <c r="U12" s="64">
        <f t="shared" si="9"/>
        <v>1</v>
      </c>
      <c r="V12" s="63">
        <v>164</v>
      </c>
      <c r="W12" s="204" t="s">
        <v>76</v>
      </c>
    </row>
    <row r="13" spans="1:23" s="200" customFormat="1" ht="24" customHeight="1">
      <c r="A13" s="196" t="s">
        <v>14</v>
      </c>
      <c r="B13" s="197">
        <f t="shared" si="0"/>
        <v>4</v>
      </c>
      <c r="C13" s="61">
        <v>301.4</v>
      </c>
      <c r="D13" s="62">
        <f t="shared" si="1"/>
        <v>2</v>
      </c>
      <c r="E13" s="61">
        <v>55.9</v>
      </c>
      <c r="F13" s="62">
        <f t="shared" si="2"/>
        <v>3</v>
      </c>
      <c r="G13" s="61">
        <v>40.4</v>
      </c>
      <c r="H13" s="62">
        <f t="shared" si="3"/>
        <v>37</v>
      </c>
      <c r="I13" s="61">
        <v>22</v>
      </c>
      <c r="J13" s="62">
        <f t="shared" si="4"/>
        <v>4</v>
      </c>
      <c r="K13" s="61">
        <v>22.7</v>
      </c>
      <c r="L13" s="220"/>
      <c r="M13" s="62">
        <f t="shared" si="5"/>
        <v>4</v>
      </c>
      <c r="N13" s="61">
        <v>55.3</v>
      </c>
      <c r="O13" s="62">
        <f t="shared" si="6"/>
        <v>36</v>
      </c>
      <c r="P13" s="61">
        <v>7.026143790849673</v>
      </c>
      <c r="Q13" s="62">
        <f t="shared" si="7"/>
        <v>29</v>
      </c>
      <c r="R13" s="61">
        <f>100000*50/632000</f>
        <v>7.9113924050632916</v>
      </c>
      <c r="S13" s="62">
        <f t="shared" si="8"/>
        <v>2</v>
      </c>
      <c r="T13" s="61">
        <v>20.8</v>
      </c>
      <c r="U13" s="62">
        <f t="shared" si="9"/>
        <v>3</v>
      </c>
      <c r="V13" s="61">
        <v>158.6</v>
      </c>
      <c r="W13" s="199" t="s">
        <v>77</v>
      </c>
    </row>
    <row r="14" spans="1:23" ht="12" customHeight="1">
      <c r="A14" s="201" t="s">
        <v>15</v>
      </c>
      <c r="B14" s="202">
        <f t="shared" si="0"/>
        <v>20</v>
      </c>
      <c r="C14" s="63">
        <v>262.9</v>
      </c>
      <c r="D14" s="64">
        <f t="shared" si="1"/>
        <v>7</v>
      </c>
      <c r="E14" s="63">
        <v>47.2</v>
      </c>
      <c r="F14" s="64">
        <f t="shared" si="2"/>
        <v>10</v>
      </c>
      <c r="G14" s="63">
        <v>35.7</v>
      </c>
      <c r="H14" s="64">
        <f t="shared" si="3"/>
        <v>34</v>
      </c>
      <c r="I14" s="63">
        <v>22.7</v>
      </c>
      <c r="J14" s="64">
        <f t="shared" si="4"/>
        <v>15</v>
      </c>
      <c r="K14" s="63">
        <v>19.3</v>
      </c>
      <c r="L14" s="221"/>
      <c r="M14" s="64">
        <f t="shared" si="5"/>
        <v>24</v>
      </c>
      <c r="N14" s="63">
        <f>100000*1020/2103000</f>
        <v>48.502139800285306</v>
      </c>
      <c r="O14" s="64">
        <f t="shared" si="6"/>
        <v>38</v>
      </c>
      <c r="P14" s="63">
        <v>6.847360912981455</v>
      </c>
      <c r="Q14" s="64">
        <f t="shared" si="7"/>
        <v>46</v>
      </c>
      <c r="R14" s="63">
        <v>5.6</v>
      </c>
      <c r="S14" s="64">
        <f t="shared" si="8"/>
        <v>17</v>
      </c>
      <c r="T14" s="63">
        <v>16</v>
      </c>
      <c r="U14" s="64">
        <f t="shared" si="9"/>
        <v>8</v>
      </c>
      <c r="V14" s="63">
        <v>143.9</v>
      </c>
      <c r="W14" s="204" t="s">
        <v>78</v>
      </c>
    </row>
    <row r="15" spans="1:23" ht="12" customHeight="1">
      <c r="A15" s="201" t="s">
        <v>16</v>
      </c>
      <c r="B15" s="202">
        <f t="shared" si="0"/>
        <v>35</v>
      </c>
      <c r="C15" s="63">
        <v>243.6</v>
      </c>
      <c r="D15" s="64">
        <f t="shared" si="1"/>
        <v>17</v>
      </c>
      <c r="E15" s="63">
        <f>100000*1314/2953000</f>
        <v>44.497121571283444</v>
      </c>
      <c r="F15" s="64">
        <f t="shared" si="2"/>
        <v>28</v>
      </c>
      <c r="G15" s="63">
        <v>30.2</v>
      </c>
      <c r="H15" s="64">
        <f t="shared" si="3"/>
        <v>35</v>
      </c>
      <c r="I15" s="63">
        <v>22.5</v>
      </c>
      <c r="J15" s="64">
        <f t="shared" si="4"/>
        <v>26</v>
      </c>
      <c r="K15" s="63">
        <v>17.6</v>
      </c>
      <c r="L15" s="221"/>
      <c r="M15" s="64">
        <f t="shared" si="5"/>
        <v>38</v>
      </c>
      <c r="N15" s="63">
        <v>42.6</v>
      </c>
      <c r="O15" s="64">
        <f t="shared" si="6"/>
        <v>8</v>
      </c>
      <c r="P15" s="63">
        <v>8.22891974263461</v>
      </c>
      <c r="Q15" s="64">
        <f t="shared" si="7"/>
        <v>33</v>
      </c>
      <c r="R15" s="63">
        <f>100000*112/1483000</f>
        <v>7.552258934592043</v>
      </c>
      <c r="S15" s="64">
        <f t="shared" si="8"/>
        <v>23</v>
      </c>
      <c r="T15" s="63">
        <v>14.2</v>
      </c>
      <c r="U15" s="64">
        <f t="shared" si="9"/>
        <v>20</v>
      </c>
      <c r="V15" s="63">
        <v>121.1</v>
      </c>
      <c r="W15" s="204" t="s">
        <v>79</v>
      </c>
    </row>
    <row r="16" spans="1:23" ht="12" customHeight="1">
      <c r="A16" s="201" t="s">
        <v>17</v>
      </c>
      <c r="B16" s="202">
        <f t="shared" si="0"/>
        <v>33</v>
      </c>
      <c r="C16" s="63">
        <v>247.6</v>
      </c>
      <c r="D16" s="64">
        <f t="shared" si="1"/>
        <v>13</v>
      </c>
      <c r="E16" s="63">
        <v>45.4</v>
      </c>
      <c r="F16" s="64">
        <f t="shared" si="2"/>
        <v>25</v>
      </c>
      <c r="G16" s="63">
        <v>31.2</v>
      </c>
      <c r="H16" s="64">
        <f t="shared" si="3"/>
        <v>31</v>
      </c>
      <c r="I16" s="63">
        <v>23</v>
      </c>
      <c r="J16" s="64">
        <f t="shared" si="4"/>
        <v>30</v>
      </c>
      <c r="K16" s="63">
        <v>16.8</v>
      </c>
      <c r="L16" s="221"/>
      <c r="M16" s="64">
        <f t="shared" si="5"/>
        <v>36</v>
      </c>
      <c r="N16" s="63">
        <v>43.9</v>
      </c>
      <c r="O16" s="64">
        <f t="shared" si="6"/>
        <v>23</v>
      </c>
      <c r="P16" s="63">
        <v>7.653575025176234</v>
      </c>
      <c r="Q16" s="64">
        <f t="shared" si="7"/>
        <v>17</v>
      </c>
      <c r="R16" s="63">
        <f>100000*89/1000000</f>
        <v>8.9</v>
      </c>
      <c r="S16" s="64">
        <f t="shared" si="8"/>
        <v>29</v>
      </c>
      <c r="T16" s="63">
        <v>12.9</v>
      </c>
      <c r="U16" s="64">
        <f t="shared" si="9"/>
        <v>14</v>
      </c>
      <c r="V16" s="63">
        <v>133.4</v>
      </c>
      <c r="W16" s="204" t="s">
        <v>80</v>
      </c>
    </row>
    <row r="17" spans="1:23" ht="12" customHeight="1">
      <c r="A17" s="201" t="s">
        <v>18</v>
      </c>
      <c r="B17" s="202">
        <f t="shared" si="0"/>
        <v>34</v>
      </c>
      <c r="C17" s="63">
        <v>246.1</v>
      </c>
      <c r="D17" s="64">
        <f t="shared" si="1"/>
        <v>22</v>
      </c>
      <c r="E17" s="63">
        <v>41.6</v>
      </c>
      <c r="F17" s="64">
        <f t="shared" si="2"/>
        <v>32</v>
      </c>
      <c r="G17" s="63">
        <v>29.4</v>
      </c>
      <c r="H17" s="64">
        <f t="shared" si="3"/>
        <v>24</v>
      </c>
      <c r="I17" s="63">
        <v>25.8</v>
      </c>
      <c r="J17" s="64">
        <f t="shared" si="4"/>
        <v>29</v>
      </c>
      <c r="K17" s="63">
        <v>16.9</v>
      </c>
      <c r="L17" s="221"/>
      <c r="M17" s="64">
        <f t="shared" si="5"/>
        <v>32</v>
      </c>
      <c r="N17" s="63">
        <v>45.4</v>
      </c>
      <c r="O17" s="64">
        <f t="shared" si="6"/>
        <v>3</v>
      </c>
      <c r="P17" s="63">
        <v>8.65</v>
      </c>
      <c r="Q17" s="64">
        <f t="shared" si="7"/>
        <v>36</v>
      </c>
      <c r="R17" s="63">
        <f>100000*75/1014000</f>
        <v>7.396449704142012</v>
      </c>
      <c r="S17" s="64">
        <f t="shared" si="8"/>
        <v>13</v>
      </c>
      <c r="T17" s="63">
        <v>16.8</v>
      </c>
      <c r="U17" s="64">
        <f t="shared" si="9"/>
        <v>22</v>
      </c>
      <c r="V17" s="63">
        <v>118</v>
      </c>
      <c r="W17" s="204" t="s">
        <v>81</v>
      </c>
    </row>
    <row r="18" spans="1:23" s="200" customFormat="1" ht="24" customHeight="1">
      <c r="A18" s="196" t="s">
        <v>19</v>
      </c>
      <c r="B18" s="197">
        <f t="shared" si="0"/>
        <v>46</v>
      </c>
      <c r="C18" s="61">
        <v>202</v>
      </c>
      <c r="D18" s="62">
        <f t="shared" si="1"/>
        <v>42</v>
      </c>
      <c r="E18" s="61">
        <v>34.8</v>
      </c>
      <c r="F18" s="62">
        <f t="shared" si="2"/>
        <v>45</v>
      </c>
      <c r="G18" s="61">
        <v>25.6</v>
      </c>
      <c r="H18" s="62">
        <f t="shared" si="3"/>
        <v>43</v>
      </c>
      <c r="I18" s="61">
        <v>19.6</v>
      </c>
      <c r="J18" s="62">
        <f t="shared" si="4"/>
        <v>46</v>
      </c>
      <c r="K18" s="61">
        <v>13</v>
      </c>
      <c r="L18" s="220"/>
      <c r="M18" s="62">
        <f t="shared" si="5"/>
        <v>47</v>
      </c>
      <c r="N18" s="61">
        <v>35.6</v>
      </c>
      <c r="O18" s="62">
        <f t="shared" si="6"/>
        <v>6</v>
      </c>
      <c r="P18" s="61">
        <v>8.457997698504027</v>
      </c>
      <c r="Q18" s="62">
        <f t="shared" si="7"/>
        <v>25</v>
      </c>
      <c r="R18" s="61">
        <v>8.2</v>
      </c>
      <c r="S18" s="62">
        <f t="shared" si="8"/>
        <v>44</v>
      </c>
      <c r="T18" s="61">
        <v>9.8</v>
      </c>
      <c r="U18" s="62">
        <f t="shared" si="9"/>
        <v>44</v>
      </c>
      <c r="V18" s="61">
        <v>83.6</v>
      </c>
      <c r="W18" s="199" t="s">
        <v>82</v>
      </c>
    </row>
    <row r="19" spans="1:23" ht="12" customHeight="1">
      <c r="A19" s="201" t="s">
        <v>20</v>
      </c>
      <c r="B19" s="202">
        <f t="shared" si="0"/>
        <v>44</v>
      </c>
      <c r="C19" s="63">
        <v>209.5</v>
      </c>
      <c r="D19" s="64">
        <f t="shared" si="1"/>
        <v>43</v>
      </c>
      <c r="E19" s="63">
        <v>34.6</v>
      </c>
      <c r="F19" s="64">
        <f t="shared" si="2"/>
        <v>42</v>
      </c>
      <c r="G19" s="63">
        <v>27.4</v>
      </c>
      <c r="H19" s="64">
        <f t="shared" si="3"/>
        <v>38</v>
      </c>
      <c r="I19" s="63">
        <v>21.9</v>
      </c>
      <c r="J19" s="64">
        <f t="shared" si="4"/>
        <v>45</v>
      </c>
      <c r="K19" s="63">
        <v>13.5</v>
      </c>
      <c r="L19" s="221"/>
      <c r="M19" s="64">
        <f t="shared" si="5"/>
        <v>46</v>
      </c>
      <c r="N19" s="63">
        <v>36.1</v>
      </c>
      <c r="O19" s="64">
        <f t="shared" si="6"/>
        <v>26</v>
      </c>
      <c r="P19" s="63">
        <v>7.607052896725441</v>
      </c>
      <c r="Q19" s="64">
        <f t="shared" si="7"/>
        <v>30</v>
      </c>
      <c r="R19" s="63">
        <f>100000*234/2967000</f>
        <v>7.886754297269969</v>
      </c>
      <c r="S19" s="64">
        <f t="shared" si="8"/>
        <v>45</v>
      </c>
      <c r="T19" s="63">
        <v>9.6</v>
      </c>
      <c r="U19" s="64">
        <f t="shared" si="9"/>
        <v>39</v>
      </c>
      <c r="V19" s="222">
        <f>100000*5327/5955000</f>
        <v>89.45424013434089</v>
      </c>
      <c r="W19" s="204" t="s">
        <v>83</v>
      </c>
    </row>
    <row r="20" spans="1:23" ht="12" customHeight="1">
      <c r="A20" s="201" t="s">
        <v>21</v>
      </c>
      <c r="B20" s="202">
        <f t="shared" si="0"/>
        <v>41</v>
      </c>
      <c r="C20" s="63">
        <v>232.2</v>
      </c>
      <c r="D20" s="64">
        <f t="shared" si="1"/>
        <v>39</v>
      </c>
      <c r="E20" s="63">
        <f>4380*100000/12059000</f>
        <v>36.32141968654117</v>
      </c>
      <c r="F20" s="64">
        <f t="shared" si="2"/>
        <v>26</v>
      </c>
      <c r="G20" s="63">
        <v>30.9</v>
      </c>
      <c r="H20" s="64">
        <f t="shared" si="3"/>
        <v>33</v>
      </c>
      <c r="I20" s="63">
        <f>100000*2759/12059000</f>
        <v>22.87917737789203</v>
      </c>
      <c r="J20" s="64">
        <f t="shared" si="4"/>
        <v>42</v>
      </c>
      <c r="K20" s="63">
        <v>15.1</v>
      </c>
      <c r="L20" s="221"/>
      <c r="M20" s="64">
        <f t="shared" si="5"/>
        <v>41</v>
      </c>
      <c r="N20" s="63">
        <v>40.5</v>
      </c>
      <c r="O20" s="64">
        <f t="shared" si="6"/>
        <v>1</v>
      </c>
      <c r="P20" s="63">
        <v>9.096940044779833</v>
      </c>
      <c r="Q20" s="64">
        <f t="shared" si="7"/>
        <v>26</v>
      </c>
      <c r="R20" s="63">
        <v>8.1</v>
      </c>
      <c r="S20" s="64">
        <f t="shared" si="8"/>
        <v>41</v>
      </c>
      <c r="T20" s="63">
        <v>10.2</v>
      </c>
      <c r="U20" s="64">
        <f t="shared" si="9"/>
        <v>37</v>
      </c>
      <c r="V20" s="63">
        <v>91.8</v>
      </c>
      <c r="W20" s="204" t="s">
        <v>84</v>
      </c>
    </row>
    <row r="21" spans="1:23" ht="12" customHeight="1">
      <c r="A21" s="201" t="s">
        <v>22</v>
      </c>
      <c r="B21" s="202">
        <f t="shared" si="0"/>
        <v>45</v>
      </c>
      <c r="C21" s="63">
        <v>209.4</v>
      </c>
      <c r="D21" s="64">
        <f t="shared" si="1"/>
        <v>44</v>
      </c>
      <c r="E21" s="63">
        <v>34.1</v>
      </c>
      <c r="F21" s="64">
        <f t="shared" si="2"/>
        <v>41</v>
      </c>
      <c r="G21" s="63">
        <v>27.8</v>
      </c>
      <c r="H21" s="64">
        <f t="shared" si="3"/>
        <v>40</v>
      </c>
      <c r="I21" s="63">
        <f>100000*1816/8570000</f>
        <v>21.190198366394398</v>
      </c>
      <c r="J21" s="64">
        <f t="shared" si="4"/>
        <v>44</v>
      </c>
      <c r="K21" s="63">
        <f>100000*1256/8570000</f>
        <v>14.655775962660444</v>
      </c>
      <c r="L21" s="221"/>
      <c r="M21" s="64">
        <f t="shared" si="5"/>
        <v>45</v>
      </c>
      <c r="N21" s="63">
        <v>36.4</v>
      </c>
      <c r="O21" s="64">
        <f t="shared" si="6"/>
        <v>25</v>
      </c>
      <c r="P21" s="63">
        <v>7.607934655775963</v>
      </c>
      <c r="Q21" s="64">
        <f t="shared" si="7"/>
        <v>32</v>
      </c>
      <c r="R21" s="63">
        <v>7.6</v>
      </c>
      <c r="S21" s="64">
        <f t="shared" si="8"/>
        <v>47</v>
      </c>
      <c r="T21" s="63">
        <v>8.9</v>
      </c>
      <c r="U21" s="64">
        <f t="shared" si="9"/>
        <v>45</v>
      </c>
      <c r="V21" s="63">
        <v>82.7</v>
      </c>
      <c r="W21" s="204" t="s">
        <v>85</v>
      </c>
    </row>
    <row r="22" spans="1:23" ht="12" customHeight="1">
      <c r="A22" s="201" t="s">
        <v>23</v>
      </c>
      <c r="B22" s="202">
        <f t="shared" si="0"/>
        <v>9</v>
      </c>
      <c r="C22" s="63">
        <v>289.9</v>
      </c>
      <c r="D22" s="64">
        <f t="shared" si="1"/>
        <v>4</v>
      </c>
      <c r="E22" s="63">
        <v>52.2</v>
      </c>
      <c r="F22" s="64">
        <f t="shared" si="2"/>
        <v>7</v>
      </c>
      <c r="G22" s="63">
        <v>37.3</v>
      </c>
      <c r="H22" s="64">
        <f t="shared" si="3"/>
        <v>44</v>
      </c>
      <c r="I22" s="63">
        <v>18.8</v>
      </c>
      <c r="J22" s="64">
        <f t="shared" si="4"/>
        <v>11</v>
      </c>
      <c r="K22" s="63">
        <v>19.9</v>
      </c>
      <c r="L22" s="221"/>
      <c r="M22" s="64">
        <f t="shared" si="5"/>
        <v>8</v>
      </c>
      <c r="N22" s="63">
        <v>53.3</v>
      </c>
      <c r="O22" s="64">
        <f t="shared" si="6"/>
        <v>29</v>
      </c>
      <c r="P22" s="63">
        <v>7.4754901960784315</v>
      </c>
      <c r="Q22" s="64">
        <f t="shared" si="7"/>
        <v>37</v>
      </c>
      <c r="R22" s="63">
        <f>100000*93/1260000</f>
        <v>7.380952380952381</v>
      </c>
      <c r="S22" s="64">
        <f t="shared" si="8"/>
        <v>3</v>
      </c>
      <c r="T22" s="63">
        <v>19.2</v>
      </c>
      <c r="U22" s="64">
        <f t="shared" si="9"/>
        <v>6</v>
      </c>
      <c r="V22" s="63">
        <v>146.9</v>
      </c>
      <c r="W22" s="204" t="s">
        <v>86</v>
      </c>
    </row>
    <row r="23" spans="1:23" s="200" customFormat="1" ht="24" customHeight="1">
      <c r="A23" s="196" t="s">
        <v>24</v>
      </c>
      <c r="B23" s="197">
        <f t="shared" si="0"/>
        <v>12</v>
      </c>
      <c r="C23" s="61">
        <v>279.2</v>
      </c>
      <c r="D23" s="62">
        <f t="shared" si="1"/>
        <v>3</v>
      </c>
      <c r="E23" s="61">
        <v>53.5</v>
      </c>
      <c r="F23" s="62">
        <f t="shared" si="2"/>
        <v>9</v>
      </c>
      <c r="G23" s="61">
        <v>36</v>
      </c>
      <c r="H23" s="62">
        <f t="shared" si="3"/>
        <v>28</v>
      </c>
      <c r="I23" s="61">
        <v>24.3</v>
      </c>
      <c r="J23" s="62">
        <f t="shared" si="4"/>
        <v>3</v>
      </c>
      <c r="K23" s="61">
        <v>23.7</v>
      </c>
      <c r="L23" s="220"/>
      <c r="M23" s="62">
        <f t="shared" si="5"/>
        <v>23</v>
      </c>
      <c r="N23" s="61">
        <f>100000*538/1109000</f>
        <v>48.512173128944994</v>
      </c>
      <c r="O23" s="62">
        <f t="shared" si="6"/>
        <v>40</v>
      </c>
      <c r="P23" s="61">
        <v>6.762849413886384</v>
      </c>
      <c r="Q23" s="62">
        <f t="shared" si="7"/>
        <v>44</v>
      </c>
      <c r="R23" s="61">
        <v>5.9</v>
      </c>
      <c r="S23" s="62">
        <f t="shared" si="8"/>
        <v>7</v>
      </c>
      <c r="T23" s="61">
        <v>18.1</v>
      </c>
      <c r="U23" s="62">
        <f t="shared" si="9"/>
        <v>13</v>
      </c>
      <c r="V23" s="61">
        <v>135.4</v>
      </c>
      <c r="W23" s="199" t="s">
        <v>87</v>
      </c>
    </row>
    <row r="24" spans="1:23" ht="12" customHeight="1">
      <c r="A24" s="201" t="s">
        <v>25</v>
      </c>
      <c r="B24" s="202">
        <f t="shared" si="0"/>
        <v>24</v>
      </c>
      <c r="C24" s="63">
        <v>256.7</v>
      </c>
      <c r="D24" s="64">
        <f t="shared" si="1"/>
        <v>19</v>
      </c>
      <c r="E24" s="63">
        <v>44</v>
      </c>
      <c r="F24" s="64">
        <f t="shared" si="2"/>
        <v>18</v>
      </c>
      <c r="G24" s="63">
        <v>33.2</v>
      </c>
      <c r="H24" s="64">
        <f t="shared" si="3"/>
        <v>36</v>
      </c>
      <c r="I24" s="63">
        <v>22.4</v>
      </c>
      <c r="J24" s="64">
        <f t="shared" si="4"/>
        <v>21</v>
      </c>
      <c r="K24" s="63">
        <v>18.2</v>
      </c>
      <c r="L24" s="221"/>
      <c r="M24" s="64">
        <f t="shared" si="5"/>
        <v>25</v>
      </c>
      <c r="N24" s="63">
        <v>48.4</v>
      </c>
      <c r="O24" s="64">
        <f t="shared" si="6"/>
        <v>11</v>
      </c>
      <c r="P24" s="63">
        <v>8.098891730605285</v>
      </c>
      <c r="Q24" s="64">
        <f t="shared" si="7"/>
        <v>2</v>
      </c>
      <c r="R24" s="63">
        <v>10.7</v>
      </c>
      <c r="S24" s="64">
        <f t="shared" si="8"/>
        <v>14</v>
      </c>
      <c r="T24" s="63">
        <v>16.6</v>
      </c>
      <c r="U24" s="64">
        <f t="shared" si="9"/>
        <v>27</v>
      </c>
      <c r="V24" s="63">
        <v>115.1</v>
      </c>
      <c r="W24" s="204" t="s">
        <v>88</v>
      </c>
    </row>
    <row r="25" spans="1:23" ht="12" customHeight="1">
      <c r="A25" s="201" t="s">
        <v>26</v>
      </c>
      <c r="B25" s="202">
        <f t="shared" si="0"/>
        <v>25</v>
      </c>
      <c r="C25" s="63">
        <v>255.6</v>
      </c>
      <c r="D25" s="64">
        <f t="shared" si="1"/>
        <v>23</v>
      </c>
      <c r="E25" s="63">
        <v>41</v>
      </c>
      <c r="F25" s="64">
        <f t="shared" si="2"/>
        <v>39</v>
      </c>
      <c r="G25" s="63">
        <f>100000*230/817000</f>
        <v>28.151774785801713</v>
      </c>
      <c r="H25" s="64">
        <f t="shared" si="3"/>
        <v>19</v>
      </c>
      <c r="I25" s="63">
        <v>29.4</v>
      </c>
      <c r="J25" s="64">
        <f t="shared" si="4"/>
        <v>38</v>
      </c>
      <c r="K25" s="63">
        <f>100000*130/817000</f>
        <v>15.911872705018359</v>
      </c>
      <c r="L25" s="221"/>
      <c r="M25" s="64">
        <f t="shared" si="5"/>
        <v>22</v>
      </c>
      <c r="N25" s="63">
        <v>48.6</v>
      </c>
      <c r="O25" s="64">
        <f t="shared" si="6"/>
        <v>42</v>
      </c>
      <c r="P25" s="63">
        <v>6.24235006119951</v>
      </c>
      <c r="Q25" s="64">
        <f t="shared" si="7"/>
        <v>45</v>
      </c>
      <c r="R25" s="63">
        <v>5.7</v>
      </c>
      <c r="S25" s="64">
        <f t="shared" si="8"/>
        <v>6</v>
      </c>
      <c r="T25" s="63">
        <v>18.2</v>
      </c>
      <c r="U25" s="64">
        <f t="shared" si="9"/>
        <v>21</v>
      </c>
      <c r="V25" s="63">
        <v>118.1</v>
      </c>
      <c r="W25" s="204" t="s">
        <v>78</v>
      </c>
    </row>
    <row r="26" spans="1:23" ht="12" customHeight="1">
      <c r="A26" s="201" t="s">
        <v>27</v>
      </c>
      <c r="B26" s="202">
        <f t="shared" si="0"/>
        <v>29</v>
      </c>
      <c r="C26" s="63">
        <v>250.5</v>
      </c>
      <c r="D26" s="64">
        <f t="shared" si="1"/>
        <v>29</v>
      </c>
      <c r="E26" s="63">
        <v>39.2</v>
      </c>
      <c r="F26" s="64">
        <f t="shared" si="2"/>
        <v>35</v>
      </c>
      <c r="G26" s="63">
        <v>28.8</v>
      </c>
      <c r="H26" s="64">
        <f t="shared" si="3"/>
        <v>7</v>
      </c>
      <c r="I26" s="63">
        <v>37.1</v>
      </c>
      <c r="J26" s="64">
        <f t="shared" si="4"/>
        <v>36</v>
      </c>
      <c r="K26" s="63">
        <v>16</v>
      </c>
      <c r="L26" s="221"/>
      <c r="M26" s="64">
        <f t="shared" si="5"/>
        <v>35</v>
      </c>
      <c r="N26" s="63">
        <v>45</v>
      </c>
      <c r="O26" s="64">
        <f t="shared" si="6"/>
        <v>13</v>
      </c>
      <c r="P26" s="63">
        <v>8.018327605956472</v>
      </c>
      <c r="Q26" s="64">
        <f t="shared" si="7"/>
        <v>15</v>
      </c>
      <c r="R26" s="63">
        <v>9</v>
      </c>
      <c r="S26" s="64">
        <f t="shared" si="8"/>
        <v>18</v>
      </c>
      <c r="T26" s="63">
        <v>15.3</v>
      </c>
      <c r="U26" s="64">
        <f t="shared" si="9"/>
        <v>30</v>
      </c>
      <c r="V26" s="63">
        <v>113.9</v>
      </c>
      <c r="W26" s="204" t="s">
        <v>77</v>
      </c>
    </row>
    <row r="27" spans="1:23" ht="12" customHeight="1">
      <c r="A27" s="201" t="s">
        <v>28</v>
      </c>
      <c r="B27" s="202">
        <f t="shared" si="0"/>
        <v>31</v>
      </c>
      <c r="C27" s="63">
        <v>249.6</v>
      </c>
      <c r="D27" s="64">
        <f t="shared" si="1"/>
        <v>30</v>
      </c>
      <c r="E27" s="63">
        <v>39.1</v>
      </c>
      <c r="F27" s="64">
        <f t="shared" si="2"/>
        <v>11</v>
      </c>
      <c r="G27" s="63">
        <v>35.6</v>
      </c>
      <c r="H27" s="64">
        <f t="shared" si="3"/>
        <v>41</v>
      </c>
      <c r="I27" s="63">
        <v>20.4</v>
      </c>
      <c r="J27" s="64">
        <f t="shared" si="4"/>
        <v>14</v>
      </c>
      <c r="K27" s="63">
        <v>19.6</v>
      </c>
      <c r="L27" s="221"/>
      <c r="M27" s="64">
        <f t="shared" si="5"/>
        <v>42</v>
      </c>
      <c r="N27" s="63">
        <v>40.2</v>
      </c>
      <c r="O27" s="64">
        <f t="shared" si="6"/>
        <v>19</v>
      </c>
      <c r="P27" s="63">
        <v>7.755851307939421</v>
      </c>
      <c r="Q27" s="64">
        <f t="shared" si="7"/>
        <v>23</v>
      </c>
      <c r="R27" s="63">
        <v>8.3</v>
      </c>
      <c r="S27" s="64">
        <f t="shared" si="8"/>
        <v>12</v>
      </c>
      <c r="T27" s="63">
        <v>16.9</v>
      </c>
      <c r="U27" s="64">
        <f t="shared" si="9"/>
        <v>5</v>
      </c>
      <c r="V27" s="63">
        <v>156.1</v>
      </c>
      <c r="W27" s="204" t="s">
        <v>89</v>
      </c>
    </row>
    <row r="28" spans="1:23" s="200" customFormat="1" ht="24" customHeight="1">
      <c r="A28" s="196" t="s">
        <v>29</v>
      </c>
      <c r="B28" s="197">
        <f t="shared" si="0"/>
        <v>38</v>
      </c>
      <c r="C28" s="61">
        <v>237.4</v>
      </c>
      <c r="D28" s="62">
        <f t="shared" si="1"/>
        <v>20</v>
      </c>
      <c r="E28" s="61">
        <v>43.9</v>
      </c>
      <c r="F28" s="62">
        <f t="shared" si="2"/>
        <v>27</v>
      </c>
      <c r="G28" s="61">
        <v>30.8</v>
      </c>
      <c r="H28" s="62">
        <f t="shared" si="3"/>
        <v>29</v>
      </c>
      <c r="I28" s="61">
        <v>24.1</v>
      </c>
      <c r="J28" s="62">
        <f t="shared" si="4"/>
        <v>37</v>
      </c>
      <c r="K28" s="61">
        <f>100000*331/2078000</f>
        <v>15.928777670837343</v>
      </c>
      <c r="L28" s="220"/>
      <c r="M28" s="62">
        <f t="shared" si="5"/>
        <v>40</v>
      </c>
      <c r="N28" s="61">
        <v>42.1</v>
      </c>
      <c r="O28" s="62">
        <f t="shared" si="6"/>
        <v>31</v>
      </c>
      <c r="P28" s="61">
        <v>7.459095283926853</v>
      </c>
      <c r="Q28" s="62">
        <f t="shared" si="7"/>
        <v>20</v>
      </c>
      <c r="R28" s="61">
        <v>8.6</v>
      </c>
      <c r="S28" s="62">
        <f t="shared" si="8"/>
        <v>39</v>
      </c>
      <c r="T28" s="61">
        <v>10.9</v>
      </c>
      <c r="U28" s="62">
        <f t="shared" si="9"/>
        <v>32</v>
      </c>
      <c r="V28" s="61">
        <v>107.8</v>
      </c>
      <c r="W28" s="199" t="s">
        <v>90</v>
      </c>
    </row>
    <row r="29" spans="1:23" ht="12" customHeight="1">
      <c r="A29" s="201" t="s">
        <v>30</v>
      </c>
      <c r="B29" s="202">
        <f t="shared" si="0"/>
        <v>40</v>
      </c>
      <c r="C29" s="63">
        <v>232.6</v>
      </c>
      <c r="D29" s="64">
        <f t="shared" si="1"/>
        <v>41</v>
      </c>
      <c r="E29" s="63">
        <v>35.3</v>
      </c>
      <c r="F29" s="64">
        <f t="shared" si="2"/>
        <v>38</v>
      </c>
      <c r="G29" s="63">
        <v>28.2</v>
      </c>
      <c r="H29" s="64">
        <f t="shared" si="3"/>
        <v>21</v>
      </c>
      <c r="I29" s="63">
        <f>100000*1035/3726000</f>
        <v>27.77777777777778</v>
      </c>
      <c r="J29" s="64">
        <f t="shared" si="4"/>
        <v>41</v>
      </c>
      <c r="K29" s="63">
        <f>100000*578/3726000</f>
        <v>15.5126140633387</v>
      </c>
      <c r="L29" s="221"/>
      <c r="M29" s="64">
        <f t="shared" si="5"/>
        <v>39</v>
      </c>
      <c r="N29" s="63">
        <v>42.4</v>
      </c>
      <c r="O29" s="64">
        <f t="shared" si="6"/>
        <v>16</v>
      </c>
      <c r="P29" s="63">
        <v>7.971014492753623</v>
      </c>
      <c r="Q29" s="64">
        <f t="shared" si="7"/>
        <v>19</v>
      </c>
      <c r="R29" s="63">
        <f>100000*164/1891000</f>
        <v>8.672659968270755</v>
      </c>
      <c r="S29" s="64">
        <f t="shared" si="8"/>
        <v>36</v>
      </c>
      <c r="T29" s="63">
        <v>11.9</v>
      </c>
      <c r="U29" s="64">
        <f t="shared" si="9"/>
        <v>29</v>
      </c>
      <c r="V29" s="63">
        <v>114</v>
      </c>
      <c r="W29" s="204" t="s">
        <v>91</v>
      </c>
    </row>
    <row r="30" spans="1:23" ht="12" customHeight="1">
      <c r="A30" s="201" t="s">
        <v>31</v>
      </c>
      <c r="B30" s="202">
        <f t="shared" si="0"/>
        <v>43</v>
      </c>
      <c r="C30" s="63">
        <v>212.5</v>
      </c>
      <c r="D30" s="64">
        <f t="shared" si="1"/>
        <v>38</v>
      </c>
      <c r="E30" s="63">
        <f>100000*2554/7028000</f>
        <v>36.340352874217416</v>
      </c>
      <c r="F30" s="64">
        <f t="shared" si="2"/>
        <v>40</v>
      </c>
      <c r="G30" s="63">
        <v>28</v>
      </c>
      <c r="H30" s="64">
        <f t="shared" si="3"/>
        <v>39</v>
      </c>
      <c r="I30" s="63">
        <v>21.2</v>
      </c>
      <c r="J30" s="64">
        <f t="shared" si="4"/>
        <v>43</v>
      </c>
      <c r="K30" s="63">
        <v>14.7</v>
      </c>
      <c r="L30" s="221"/>
      <c r="M30" s="64">
        <f t="shared" si="5"/>
        <v>43</v>
      </c>
      <c r="N30" s="63">
        <f>100000*2823/7028000</f>
        <v>40.16789982925441</v>
      </c>
      <c r="O30" s="64">
        <f t="shared" si="6"/>
        <v>21</v>
      </c>
      <c r="P30" s="63">
        <v>7.726237905520774</v>
      </c>
      <c r="Q30" s="64">
        <f t="shared" si="7"/>
        <v>34</v>
      </c>
      <c r="R30" s="63">
        <v>7.5</v>
      </c>
      <c r="S30" s="64">
        <f t="shared" si="8"/>
        <v>46</v>
      </c>
      <c r="T30" s="63">
        <v>9.4</v>
      </c>
      <c r="U30" s="64">
        <f t="shared" si="9"/>
        <v>42</v>
      </c>
      <c r="V30" s="63">
        <v>84.7</v>
      </c>
      <c r="W30" s="204" t="s">
        <v>92</v>
      </c>
    </row>
    <row r="31" spans="1:23" ht="12" customHeight="1">
      <c r="A31" s="201" t="s">
        <v>32</v>
      </c>
      <c r="B31" s="202">
        <f t="shared" si="0"/>
        <v>37</v>
      </c>
      <c r="C31" s="63">
        <v>240.4</v>
      </c>
      <c r="D31" s="64">
        <f t="shared" si="1"/>
        <v>25</v>
      </c>
      <c r="E31" s="63">
        <v>40.8</v>
      </c>
      <c r="F31" s="64">
        <f t="shared" si="2"/>
        <v>34</v>
      </c>
      <c r="G31" s="63">
        <v>28.9</v>
      </c>
      <c r="H31" s="64">
        <f t="shared" si="3"/>
        <v>26</v>
      </c>
      <c r="I31" s="63">
        <v>24.9</v>
      </c>
      <c r="J31" s="64">
        <f t="shared" si="4"/>
        <v>31</v>
      </c>
      <c r="K31" s="63">
        <v>16.5</v>
      </c>
      <c r="L31" s="221"/>
      <c r="M31" s="64">
        <f t="shared" si="5"/>
        <v>30</v>
      </c>
      <c r="N31" s="63">
        <v>46.6</v>
      </c>
      <c r="O31" s="64">
        <f t="shared" si="6"/>
        <v>37</v>
      </c>
      <c r="P31" s="63">
        <v>6.928532460447354</v>
      </c>
      <c r="Q31" s="64">
        <f t="shared" si="7"/>
        <v>27</v>
      </c>
      <c r="R31" s="63">
        <v>8</v>
      </c>
      <c r="S31" s="64">
        <f t="shared" si="8"/>
        <v>27</v>
      </c>
      <c r="T31" s="63">
        <v>13.1</v>
      </c>
      <c r="U31" s="64">
        <f t="shared" si="9"/>
        <v>25</v>
      </c>
      <c r="V31" s="63">
        <v>115.7</v>
      </c>
      <c r="W31" s="204" t="s">
        <v>93</v>
      </c>
    </row>
    <row r="32" spans="1:23" ht="12" customHeight="1">
      <c r="A32" s="201" t="s">
        <v>33</v>
      </c>
      <c r="B32" s="202">
        <f t="shared" si="0"/>
        <v>42</v>
      </c>
      <c r="C32" s="63">
        <v>221.7</v>
      </c>
      <c r="D32" s="64">
        <f t="shared" si="1"/>
        <v>28</v>
      </c>
      <c r="E32" s="63">
        <v>39.6</v>
      </c>
      <c r="F32" s="64">
        <f t="shared" si="2"/>
        <v>43</v>
      </c>
      <c r="G32" s="63">
        <v>27.1</v>
      </c>
      <c r="H32" s="64">
        <f t="shared" si="3"/>
        <v>42</v>
      </c>
      <c r="I32" s="63">
        <v>19.9</v>
      </c>
      <c r="J32" s="64">
        <f t="shared" si="4"/>
        <v>40</v>
      </c>
      <c r="K32" s="63">
        <f>100000*209/1345000</f>
        <v>15.53903345724907</v>
      </c>
      <c r="L32" s="221"/>
      <c r="M32" s="64">
        <f t="shared" si="5"/>
        <v>34</v>
      </c>
      <c r="N32" s="63">
        <v>45.1</v>
      </c>
      <c r="O32" s="64">
        <f t="shared" si="6"/>
        <v>44</v>
      </c>
      <c r="P32" s="63">
        <v>6.022304832713755</v>
      </c>
      <c r="Q32" s="64">
        <f t="shared" si="7"/>
        <v>47</v>
      </c>
      <c r="R32" s="63">
        <v>4.5</v>
      </c>
      <c r="S32" s="64">
        <f t="shared" si="8"/>
        <v>35</v>
      </c>
      <c r="T32" s="63">
        <v>12</v>
      </c>
      <c r="U32" s="64">
        <f t="shared" si="9"/>
        <v>43</v>
      </c>
      <c r="V32" s="63">
        <f>100000*1139/1345000</f>
        <v>84.68401486988847</v>
      </c>
      <c r="W32" s="204" t="s">
        <v>94</v>
      </c>
    </row>
    <row r="33" spans="1:23" s="200" customFormat="1" ht="24" customHeight="1">
      <c r="A33" s="196" t="s">
        <v>34</v>
      </c>
      <c r="B33" s="197">
        <f t="shared" si="0"/>
        <v>32</v>
      </c>
      <c r="C33" s="61">
        <v>249.5</v>
      </c>
      <c r="D33" s="62">
        <f t="shared" si="1"/>
        <v>27</v>
      </c>
      <c r="E33" s="61">
        <f>100000*1035/2597000</f>
        <v>39.8536773199846</v>
      </c>
      <c r="F33" s="62">
        <f t="shared" si="2"/>
        <v>24</v>
      </c>
      <c r="G33" s="61">
        <v>31.7</v>
      </c>
      <c r="H33" s="62">
        <f t="shared" si="3"/>
        <v>22</v>
      </c>
      <c r="I33" s="61">
        <v>27.6</v>
      </c>
      <c r="J33" s="62">
        <f t="shared" si="4"/>
        <v>22</v>
      </c>
      <c r="K33" s="61">
        <f>100000*468/2597000</f>
        <v>18.020793222949557</v>
      </c>
      <c r="L33" s="220"/>
      <c r="M33" s="62">
        <f t="shared" si="5"/>
        <v>27</v>
      </c>
      <c r="N33" s="61">
        <v>47.3</v>
      </c>
      <c r="O33" s="62">
        <f t="shared" si="6"/>
        <v>9</v>
      </c>
      <c r="P33" s="61">
        <v>8.16326530612245</v>
      </c>
      <c r="Q33" s="62">
        <f t="shared" si="7"/>
        <v>31</v>
      </c>
      <c r="R33" s="61">
        <v>7.8</v>
      </c>
      <c r="S33" s="62">
        <f t="shared" si="8"/>
        <v>32</v>
      </c>
      <c r="T33" s="61">
        <v>12.4</v>
      </c>
      <c r="U33" s="62">
        <f t="shared" si="9"/>
        <v>36</v>
      </c>
      <c r="V33" s="61">
        <v>98.8</v>
      </c>
      <c r="W33" s="199" t="s">
        <v>95</v>
      </c>
    </row>
    <row r="34" spans="1:23" ht="12" customHeight="1">
      <c r="A34" s="201" t="s">
        <v>35</v>
      </c>
      <c r="B34" s="202">
        <f t="shared" si="0"/>
        <v>30</v>
      </c>
      <c r="C34" s="63">
        <v>249.7</v>
      </c>
      <c r="D34" s="64">
        <f t="shared" si="1"/>
        <v>34</v>
      </c>
      <c r="E34" s="63">
        <f>100000*3269/8652000</f>
        <v>37.7831715210356</v>
      </c>
      <c r="F34" s="64">
        <f t="shared" si="2"/>
        <v>31</v>
      </c>
      <c r="G34" s="63">
        <f>100000*2561/8652000</f>
        <v>29.600092464170135</v>
      </c>
      <c r="H34" s="64">
        <f t="shared" si="3"/>
        <v>5</v>
      </c>
      <c r="I34" s="63">
        <v>37.7</v>
      </c>
      <c r="J34" s="64">
        <f t="shared" si="4"/>
        <v>39</v>
      </c>
      <c r="K34" s="63">
        <v>15.6</v>
      </c>
      <c r="L34" s="221"/>
      <c r="M34" s="64">
        <f t="shared" si="5"/>
        <v>26</v>
      </c>
      <c r="N34" s="63">
        <v>48.3</v>
      </c>
      <c r="O34" s="64">
        <f t="shared" si="6"/>
        <v>15</v>
      </c>
      <c r="P34" s="63">
        <v>8.009708737864077</v>
      </c>
      <c r="Q34" s="64">
        <f t="shared" si="7"/>
        <v>22</v>
      </c>
      <c r="R34" s="63">
        <v>8.4</v>
      </c>
      <c r="S34" s="64">
        <f t="shared" si="8"/>
        <v>40</v>
      </c>
      <c r="T34" s="63">
        <v>10.8</v>
      </c>
      <c r="U34" s="64">
        <f t="shared" si="9"/>
        <v>46</v>
      </c>
      <c r="V34" s="63">
        <v>77</v>
      </c>
      <c r="W34" s="204" t="s">
        <v>96</v>
      </c>
    </row>
    <row r="35" spans="1:23" ht="12" customHeight="1">
      <c r="A35" s="201" t="s">
        <v>36</v>
      </c>
      <c r="B35" s="202">
        <f t="shared" si="0"/>
        <v>26</v>
      </c>
      <c r="C35" s="63">
        <v>255.3</v>
      </c>
      <c r="D35" s="64">
        <f t="shared" si="1"/>
        <v>24</v>
      </c>
      <c r="E35" s="63">
        <v>40.9</v>
      </c>
      <c r="F35" s="64">
        <f t="shared" si="2"/>
        <v>33</v>
      </c>
      <c r="G35" s="63">
        <v>29.3</v>
      </c>
      <c r="H35" s="64">
        <f t="shared" si="3"/>
        <v>12</v>
      </c>
      <c r="I35" s="63">
        <v>35.1</v>
      </c>
      <c r="J35" s="64">
        <f t="shared" si="4"/>
        <v>33</v>
      </c>
      <c r="K35" s="63">
        <v>16.4</v>
      </c>
      <c r="L35" s="221"/>
      <c r="M35" s="64">
        <f t="shared" si="5"/>
        <v>14</v>
      </c>
      <c r="N35" s="63">
        <v>50.3</v>
      </c>
      <c r="O35" s="64">
        <f t="shared" si="6"/>
        <v>34</v>
      </c>
      <c r="P35" s="63">
        <v>7.067587209302325</v>
      </c>
      <c r="Q35" s="64">
        <f t="shared" si="7"/>
        <v>13</v>
      </c>
      <c r="R35" s="63">
        <v>9.2</v>
      </c>
      <c r="S35" s="64">
        <f t="shared" si="8"/>
        <v>37</v>
      </c>
      <c r="T35" s="63">
        <v>11.3</v>
      </c>
      <c r="U35" s="64">
        <f t="shared" si="9"/>
        <v>40</v>
      </c>
      <c r="V35" s="63">
        <v>88.5</v>
      </c>
      <c r="W35" s="204" t="s">
        <v>97</v>
      </c>
    </row>
    <row r="36" spans="1:23" ht="12" customHeight="1">
      <c r="A36" s="201" t="s">
        <v>37</v>
      </c>
      <c r="B36" s="202">
        <f t="shared" si="0"/>
        <v>36</v>
      </c>
      <c r="C36" s="63">
        <f>100000*3478/1428000</f>
        <v>243.55742296918768</v>
      </c>
      <c r="D36" s="64">
        <f t="shared" si="1"/>
        <v>21</v>
      </c>
      <c r="E36" s="63">
        <v>42.8</v>
      </c>
      <c r="F36" s="64">
        <f t="shared" si="2"/>
        <v>44</v>
      </c>
      <c r="G36" s="63">
        <v>26.9</v>
      </c>
      <c r="H36" s="64">
        <f t="shared" si="3"/>
        <v>23</v>
      </c>
      <c r="I36" s="63">
        <f>100000*394/1428000</f>
        <v>27.591036414565828</v>
      </c>
      <c r="J36" s="64">
        <f t="shared" si="4"/>
        <v>27</v>
      </c>
      <c r="K36" s="63">
        <v>17</v>
      </c>
      <c r="L36" s="221"/>
      <c r="M36" s="64">
        <f t="shared" si="5"/>
        <v>15</v>
      </c>
      <c r="N36" s="63">
        <v>50.1</v>
      </c>
      <c r="O36" s="64">
        <f t="shared" si="6"/>
        <v>41</v>
      </c>
      <c r="P36" s="63">
        <v>6.582633053221288</v>
      </c>
      <c r="Q36" s="64">
        <f t="shared" si="7"/>
        <v>38</v>
      </c>
      <c r="R36" s="63">
        <f>100000*55/746000</f>
        <v>7.372654155495979</v>
      </c>
      <c r="S36" s="64">
        <f t="shared" si="8"/>
        <v>42</v>
      </c>
      <c r="T36" s="63">
        <v>10</v>
      </c>
      <c r="U36" s="64">
        <f t="shared" si="9"/>
        <v>41</v>
      </c>
      <c r="V36" s="63">
        <v>88.1</v>
      </c>
      <c r="W36" s="204" t="s">
        <v>98</v>
      </c>
    </row>
    <row r="37" spans="1:23" ht="12" customHeight="1">
      <c r="A37" s="201" t="s">
        <v>38</v>
      </c>
      <c r="B37" s="202">
        <f t="shared" si="0"/>
        <v>7</v>
      </c>
      <c r="C37" s="63">
        <v>292.2</v>
      </c>
      <c r="D37" s="64">
        <f t="shared" si="1"/>
        <v>15</v>
      </c>
      <c r="E37" s="63">
        <v>44.8</v>
      </c>
      <c r="F37" s="64">
        <f t="shared" si="2"/>
        <v>15</v>
      </c>
      <c r="G37" s="63">
        <v>34.7</v>
      </c>
      <c r="H37" s="64">
        <f t="shared" si="3"/>
        <v>2</v>
      </c>
      <c r="I37" s="63">
        <v>43.9</v>
      </c>
      <c r="J37" s="64">
        <f t="shared" si="4"/>
        <v>6</v>
      </c>
      <c r="K37" s="63">
        <v>21.3</v>
      </c>
      <c r="L37" s="221"/>
      <c r="M37" s="64">
        <f t="shared" si="5"/>
        <v>1</v>
      </c>
      <c r="N37" s="63">
        <v>59.2</v>
      </c>
      <c r="O37" s="64">
        <f t="shared" si="6"/>
        <v>33</v>
      </c>
      <c r="P37" s="63">
        <v>7.326355851569933</v>
      </c>
      <c r="Q37" s="64">
        <f t="shared" si="7"/>
        <v>39</v>
      </c>
      <c r="R37" s="63">
        <v>7.2</v>
      </c>
      <c r="S37" s="64">
        <f t="shared" si="8"/>
        <v>24</v>
      </c>
      <c r="T37" s="63">
        <v>14</v>
      </c>
      <c r="U37" s="64">
        <f t="shared" si="9"/>
        <v>31</v>
      </c>
      <c r="V37" s="63">
        <v>111</v>
      </c>
      <c r="W37" s="204" t="s">
        <v>99</v>
      </c>
    </row>
    <row r="38" spans="1:23" s="200" customFormat="1" ht="24" customHeight="1">
      <c r="A38" s="196" t="s">
        <v>39</v>
      </c>
      <c r="B38" s="197">
        <f t="shared" si="0"/>
        <v>3</v>
      </c>
      <c r="C38" s="61">
        <v>304</v>
      </c>
      <c r="D38" s="62">
        <f t="shared" si="1"/>
        <v>6</v>
      </c>
      <c r="E38" s="61">
        <v>49.3</v>
      </c>
      <c r="F38" s="62">
        <f t="shared" si="2"/>
        <v>6</v>
      </c>
      <c r="G38" s="61">
        <v>39</v>
      </c>
      <c r="H38" s="62">
        <f t="shared" si="3"/>
        <v>18</v>
      </c>
      <c r="I38" s="61">
        <v>30.8</v>
      </c>
      <c r="J38" s="62">
        <f t="shared" si="4"/>
        <v>2</v>
      </c>
      <c r="K38" s="61">
        <v>24.1</v>
      </c>
      <c r="L38" s="220"/>
      <c r="M38" s="62">
        <f t="shared" si="5"/>
        <v>7</v>
      </c>
      <c r="N38" s="61">
        <v>53.4</v>
      </c>
      <c r="O38" s="62">
        <f t="shared" si="6"/>
        <v>18</v>
      </c>
      <c r="P38" s="61">
        <v>7.907742998352553</v>
      </c>
      <c r="Q38" s="62">
        <f t="shared" si="7"/>
        <v>9</v>
      </c>
      <c r="R38" s="61">
        <v>9.8</v>
      </c>
      <c r="S38" s="62">
        <f t="shared" si="8"/>
        <v>33</v>
      </c>
      <c r="T38" s="61">
        <f>100000*75/607000</f>
        <v>12.355848434925864</v>
      </c>
      <c r="U38" s="62">
        <f t="shared" si="9"/>
        <v>9</v>
      </c>
      <c r="V38" s="61">
        <v>141.2</v>
      </c>
      <c r="W38" s="199" t="s">
        <v>100</v>
      </c>
    </row>
    <row r="39" spans="1:23" ht="12" customHeight="1">
      <c r="A39" s="201" t="s">
        <v>40</v>
      </c>
      <c r="B39" s="202">
        <f t="shared" si="0"/>
        <v>2</v>
      </c>
      <c r="C39" s="63">
        <v>306.7</v>
      </c>
      <c r="D39" s="64">
        <f t="shared" si="1"/>
        <v>5</v>
      </c>
      <c r="E39" s="63">
        <v>51.1</v>
      </c>
      <c r="F39" s="64">
        <f t="shared" si="2"/>
        <v>5</v>
      </c>
      <c r="G39" s="63">
        <v>39.4</v>
      </c>
      <c r="H39" s="64">
        <f t="shared" si="3"/>
        <v>15</v>
      </c>
      <c r="I39" s="63">
        <v>34.3</v>
      </c>
      <c r="J39" s="64">
        <f t="shared" si="4"/>
        <v>1</v>
      </c>
      <c r="K39" s="63">
        <v>24.2</v>
      </c>
      <c r="L39" s="221"/>
      <c r="M39" s="64">
        <f t="shared" si="5"/>
        <v>18</v>
      </c>
      <c r="N39" s="63">
        <v>49.8</v>
      </c>
      <c r="O39" s="64">
        <f t="shared" si="6"/>
        <v>28</v>
      </c>
      <c r="P39" s="63">
        <v>7.4766355140186915</v>
      </c>
      <c r="Q39" s="64">
        <f t="shared" si="7"/>
        <v>28</v>
      </c>
      <c r="R39" s="63">
        <f>100000*31/391000</f>
        <v>7.928388746803069</v>
      </c>
      <c r="S39" s="64">
        <f t="shared" si="8"/>
        <v>20</v>
      </c>
      <c r="T39" s="63">
        <f>100000*114/749000</f>
        <v>15.220293724966622</v>
      </c>
      <c r="U39" s="64">
        <f t="shared" si="9"/>
        <v>10</v>
      </c>
      <c r="V39" s="63">
        <v>138.7</v>
      </c>
      <c r="W39" s="204" t="s">
        <v>101</v>
      </c>
    </row>
    <row r="40" spans="1:23" ht="12" customHeight="1">
      <c r="A40" s="201" t="s">
        <v>41</v>
      </c>
      <c r="B40" s="202">
        <f t="shared" si="0"/>
        <v>28</v>
      </c>
      <c r="C40" s="63">
        <f>100000*4921/1940000</f>
        <v>253.659793814433</v>
      </c>
      <c r="D40" s="64">
        <f t="shared" si="1"/>
        <v>35</v>
      </c>
      <c r="E40" s="63">
        <f>100000*726/1940000</f>
        <v>37.422680412371136</v>
      </c>
      <c r="F40" s="64">
        <f t="shared" si="2"/>
        <v>36</v>
      </c>
      <c r="G40" s="63">
        <v>28.5</v>
      </c>
      <c r="H40" s="64">
        <f t="shared" si="3"/>
        <v>17</v>
      </c>
      <c r="I40" s="63">
        <v>32.3</v>
      </c>
      <c r="J40" s="64">
        <f t="shared" si="4"/>
        <v>12</v>
      </c>
      <c r="K40" s="63">
        <v>19.7</v>
      </c>
      <c r="L40" s="221"/>
      <c r="M40" s="64">
        <f t="shared" si="5"/>
        <v>33</v>
      </c>
      <c r="N40" s="63">
        <v>45.3</v>
      </c>
      <c r="O40" s="64">
        <f t="shared" si="6"/>
        <v>20</v>
      </c>
      <c r="P40" s="63">
        <v>7.731958762886598</v>
      </c>
      <c r="Q40" s="64">
        <f t="shared" si="7"/>
        <v>40</v>
      </c>
      <c r="R40" s="63">
        <f>100000*71/1009000</f>
        <v>7.0366699702675914</v>
      </c>
      <c r="S40" s="64">
        <f t="shared" si="8"/>
        <v>34</v>
      </c>
      <c r="T40" s="63">
        <v>12.2</v>
      </c>
      <c r="U40" s="64">
        <f t="shared" si="9"/>
        <v>23</v>
      </c>
      <c r="V40" s="63">
        <v>117.5</v>
      </c>
      <c r="W40" s="204" t="s">
        <v>102</v>
      </c>
    </row>
    <row r="41" spans="1:23" ht="12" customHeight="1">
      <c r="A41" s="201" t="s">
        <v>42</v>
      </c>
      <c r="B41" s="202">
        <f t="shared" si="0"/>
        <v>27</v>
      </c>
      <c r="C41" s="63">
        <v>253.7</v>
      </c>
      <c r="D41" s="64">
        <f t="shared" si="1"/>
        <v>26</v>
      </c>
      <c r="E41" s="63">
        <v>39.9</v>
      </c>
      <c r="F41" s="64">
        <f t="shared" si="2"/>
        <v>30</v>
      </c>
      <c r="G41" s="63">
        <f>100000*845/2854000</f>
        <v>29.607568325157672</v>
      </c>
      <c r="H41" s="64">
        <f t="shared" si="3"/>
        <v>6</v>
      </c>
      <c r="I41" s="63">
        <v>37.6</v>
      </c>
      <c r="J41" s="64">
        <f t="shared" si="4"/>
        <v>34</v>
      </c>
      <c r="K41" s="63">
        <v>16.2</v>
      </c>
      <c r="L41" s="221"/>
      <c r="M41" s="64">
        <f t="shared" si="5"/>
        <v>29</v>
      </c>
      <c r="N41" s="63">
        <v>46.9</v>
      </c>
      <c r="O41" s="64">
        <f t="shared" si="6"/>
        <v>22</v>
      </c>
      <c r="P41" s="63">
        <v>7.67344078486335</v>
      </c>
      <c r="Q41" s="64">
        <f t="shared" si="7"/>
        <v>16</v>
      </c>
      <c r="R41" s="63">
        <f>100000*132/1475000</f>
        <v>8.94915254237288</v>
      </c>
      <c r="S41" s="64">
        <f t="shared" si="8"/>
        <v>38</v>
      </c>
      <c r="T41" s="63">
        <v>11.2</v>
      </c>
      <c r="U41" s="64">
        <f t="shared" si="9"/>
        <v>33</v>
      </c>
      <c r="V41" s="63">
        <v>106</v>
      </c>
      <c r="W41" s="204" t="s">
        <v>103</v>
      </c>
    </row>
    <row r="42" spans="1:23" ht="12" customHeight="1">
      <c r="A42" s="201" t="s">
        <v>43</v>
      </c>
      <c r="B42" s="202">
        <f t="shared" si="0"/>
        <v>5</v>
      </c>
      <c r="C42" s="63">
        <v>299.1</v>
      </c>
      <c r="D42" s="64">
        <f t="shared" si="1"/>
        <v>11</v>
      </c>
      <c r="E42" s="63">
        <f>100000*689/1500000</f>
        <v>45.93333333333333</v>
      </c>
      <c r="F42" s="64">
        <f t="shared" si="2"/>
        <v>13</v>
      </c>
      <c r="G42" s="63">
        <v>35.4</v>
      </c>
      <c r="H42" s="64">
        <f t="shared" si="3"/>
        <v>4</v>
      </c>
      <c r="I42" s="63">
        <v>38.3</v>
      </c>
      <c r="J42" s="64">
        <f t="shared" si="4"/>
        <v>9</v>
      </c>
      <c r="K42" s="63">
        <v>20.6</v>
      </c>
      <c r="L42" s="221"/>
      <c r="M42" s="64">
        <f t="shared" si="5"/>
        <v>5</v>
      </c>
      <c r="N42" s="63">
        <v>54.5</v>
      </c>
      <c r="O42" s="64">
        <f t="shared" si="6"/>
        <v>2</v>
      </c>
      <c r="P42" s="63">
        <v>8.933333333333334</v>
      </c>
      <c r="Q42" s="64">
        <f t="shared" si="7"/>
        <v>5</v>
      </c>
      <c r="R42" s="63">
        <v>10.5</v>
      </c>
      <c r="S42" s="64">
        <f t="shared" si="8"/>
        <v>25</v>
      </c>
      <c r="T42" s="63">
        <v>13.7</v>
      </c>
      <c r="U42" s="64">
        <f t="shared" si="9"/>
        <v>12</v>
      </c>
      <c r="V42" s="63">
        <v>137.2</v>
      </c>
      <c r="W42" s="204" t="s">
        <v>77</v>
      </c>
    </row>
    <row r="43" spans="1:23" s="200" customFormat="1" ht="24" customHeight="1">
      <c r="A43" s="196" t="s">
        <v>44</v>
      </c>
      <c r="B43" s="197">
        <f t="shared" si="0"/>
        <v>15</v>
      </c>
      <c r="C43" s="61">
        <v>277.6</v>
      </c>
      <c r="D43" s="62">
        <f t="shared" si="1"/>
        <v>16</v>
      </c>
      <c r="E43" s="61">
        <v>44.5</v>
      </c>
      <c r="F43" s="62">
        <f t="shared" si="2"/>
        <v>12</v>
      </c>
      <c r="G43" s="61">
        <v>35.5</v>
      </c>
      <c r="H43" s="62">
        <f t="shared" si="3"/>
        <v>8</v>
      </c>
      <c r="I43" s="61">
        <v>36.4</v>
      </c>
      <c r="J43" s="62">
        <f t="shared" si="4"/>
        <v>28</v>
      </c>
      <c r="K43" s="61">
        <f>100000*138/813000</f>
        <v>16.974169741697416</v>
      </c>
      <c r="L43" s="220"/>
      <c r="M43" s="62">
        <f t="shared" si="5"/>
        <v>12</v>
      </c>
      <c r="N43" s="61">
        <v>50.7</v>
      </c>
      <c r="O43" s="62">
        <f t="shared" si="6"/>
        <v>43</v>
      </c>
      <c r="P43" s="61">
        <v>6.150061500615006</v>
      </c>
      <c r="Q43" s="62">
        <f t="shared" si="7"/>
        <v>7</v>
      </c>
      <c r="R43" s="61">
        <v>10.3</v>
      </c>
      <c r="S43" s="62">
        <f t="shared" si="8"/>
        <v>11</v>
      </c>
      <c r="T43" s="61">
        <v>17</v>
      </c>
      <c r="U43" s="62">
        <f t="shared" si="9"/>
        <v>15</v>
      </c>
      <c r="V43" s="61">
        <v>132.1</v>
      </c>
      <c r="W43" s="199" t="s">
        <v>104</v>
      </c>
    </row>
    <row r="44" spans="1:23" ht="12" customHeight="1">
      <c r="A44" s="201" t="s">
        <v>45</v>
      </c>
      <c r="B44" s="202">
        <f t="shared" si="0"/>
        <v>22</v>
      </c>
      <c r="C44" s="63">
        <v>262.3</v>
      </c>
      <c r="D44" s="64">
        <f t="shared" si="1"/>
        <v>14</v>
      </c>
      <c r="E44" s="63">
        <v>45.1</v>
      </c>
      <c r="F44" s="64">
        <f t="shared" si="2"/>
        <v>46</v>
      </c>
      <c r="G44" s="63">
        <v>24.1</v>
      </c>
      <c r="H44" s="64">
        <f t="shared" si="3"/>
        <v>20</v>
      </c>
      <c r="I44" s="63">
        <v>27.8</v>
      </c>
      <c r="J44" s="64">
        <f t="shared" si="4"/>
        <v>19</v>
      </c>
      <c r="K44" s="63">
        <v>18.7</v>
      </c>
      <c r="L44" s="221"/>
      <c r="M44" s="64">
        <f t="shared" si="5"/>
        <v>3</v>
      </c>
      <c r="N44" s="63">
        <v>56.1</v>
      </c>
      <c r="O44" s="64">
        <f t="shared" si="6"/>
        <v>47</v>
      </c>
      <c r="P44" s="63">
        <v>5.621301775147929</v>
      </c>
      <c r="Q44" s="64">
        <f t="shared" si="7"/>
        <v>11</v>
      </c>
      <c r="R44" s="63">
        <f>100000*49/527000</f>
        <v>9.297912713472487</v>
      </c>
      <c r="S44" s="64">
        <f t="shared" si="8"/>
        <v>16</v>
      </c>
      <c r="T44" s="63">
        <f>100000*163/1014000</f>
        <v>16.074950690335307</v>
      </c>
      <c r="U44" s="64">
        <f t="shared" si="9"/>
        <v>34</v>
      </c>
      <c r="V44" s="63">
        <v>104.9</v>
      </c>
      <c r="W44" s="204" t="s">
        <v>105</v>
      </c>
    </row>
    <row r="45" spans="1:23" ht="12" customHeight="1">
      <c r="A45" s="201" t="s">
        <v>186</v>
      </c>
      <c r="B45" s="202">
        <f t="shared" si="0"/>
        <v>16</v>
      </c>
      <c r="C45" s="63">
        <v>276.3</v>
      </c>
      <c r="D45" s="64">
        <f t="shared" si="1"/>
        <v>10</v>
      </c>
      <c r="E45" s="63">
        <f>100000*692/1477000</f>
        <v>46.85172647257955</v>
      </c>
      <c r="F45" s="64">
        <f t="shared" si="2"/>
        <v>29</v>
      </c>
      <c r="G45" s="63">
        <v>30.1</v>
      </c>
      <c r="H45" s="64">
        <f t="shared" si="3"/>
        <v>11</v>
      </c>
      <c r="I45" s="63">
        <v>35.7</v>
      </c>
      <c r="J45" s="64">
        <f t="shared" si="4"/>
        <v>16</v>
      </c>
      <c r="K45" s="63">
        <v>19.2</v>
      </c>
      <c r="L45" s="221"/>
      <c r="M45" s="64">
        <f t="shared" si="5"/>
        <v>17</v>
      </c>
      <c r="N45" s="63">
        <v>49.9</v>
      </c>
      <c r="O45" s="64">
        <f t="shared" si="6"/>
        <v>10</v>
      </c>
      <c r="P45" s="63">
        <v>8.124576844955993</v>
      </c>
      <c r="Q45" s="64">
        <f t="shared" si="7"/>
        <v>1</v>
      </c>
      <c r="R45" s="63">
        <v>11.5</v>
      </c>
      <c r="S45" s="64">
        <f t="shared" si="8"/>
        <v>26</v>
      </c>
      <c r="T45" s="63">
        <v>13.5</v>
      </c>
      <c r="U45" s="64">
        <f t="shared" si="9"/>
        <v>16</v>
      </c>
      <c r="V45" s="63">
        <v>125.3</v>
      </c>
      <c r="W45" s="204" t="s">
        <v>92</v>
      </c>
    </row>
    <row r="46" spans="1:23" ht="12" customHeight="1">
      <c r="A46" s="201" t="s">
        <v>46</v>
      </c>
      <c r="B46" s="202">
        <f t="shared" si="0"/>
        <v>13</v>
      </c>
      <c r="C46" s="63">
        <v>278</v>
      </c>
      <c r="D46" s="64">
        <f t="shared" si="1"/>
        <v>9</v>
      </c>
      <c r="E46" s="63">
        <v>46.9</v>
      </c>
      <c r="F46" s="64">
        <f t="shared" si="2"/>
        <v>17</v>
      </c>
      <c r="G46" s="63">
        <v>33.8</v>
      </c>
      <c r="H46" s="64">
        <f t="shared" si="3"/>
        <v>10</v>
      </c>
      <c r="I46" s="63">
        <v>35.9</v>
      </c>
      <c r="J46" s="64">
        <f t="shared" si="4"/>
        <v>20</v>
      </c>
      <c r="K46" s="63">
        <f>100000*150/804000</f>
        <v>18.65671641791045</v>
      </c>
      <c r="L46" s="221"/>
      <c r="M46" s="64">
        <f t="shared" si="5"/>
        <v>31</v>
      </c>
      <c r="N46" s="63">
        <v>46.1</v>
      </c>
      <c r="O46" s="64">
        <f t="shared" si="6"/>
        <v>30</v>
      </c>
      <c r="P46" s="63">
        <v>7.462686567164179</v>
      </c>
      <c r="Q46" s="64">
        <f t="shared" si="7"/>
        <v>4</v>
      </c>
      <c r="R46" s="63">
        <f>100000*45/425000</f>
        <v>10.588235294117647</v>
      </c>
      <c r="S46" s="64">
        <f t="shared" si="8"/>
        <v>31</v>
      </c>
      <c r="T46" s="63">
        <f>100000*101/804000</f>
        <v>12.562189054726367</v>
      </c>
      <c r="U46" s="64">
        <f t="shared" si="9"/>
        <v>2</v>
      </c>
      <c r="V46" s="63">
        <v>162.2</v>
      </c>
      <c r="W46" s="204" t="s">
        <v>106</v>
      </c>
    </row>
    <row r="47" spans="1:23" ht="12" customHeight="1">
      <c r="A47" s="201" t="s">
        <v>47</v>
      </c>
      <c r="B47" s="202">
        <f t="shared" si="0"/>
        <v>18</v>
      </c>
      <c r="C47" s="63">
        <v>265.9</v>
      </c>
      <c r="D47" s="64">
        <f t="shared" si="1"/>
        <v>31</v>
      </c>
      <c r="E47" s="63">
        <v>38.7</v>
      </c>
      <c r="F47" s="64">
        <f t="shared" si="2"/>
        <v>22</v>
      </c>
      <c r="G47" s="63">
        <f>100000*1609/5018000</f>
        <v>32.06456755679554</v>
      </c>
      <c r="H47" s="64">
        <f t="shared" si="3"/>
        <v>3</v>
      </c>
      <c r="I47" s="63">
        <v>43</v>
      </c>
      <c r="J47" s="64">
        <f t="shared" si="4"/>
        <v>35</v>
      </c>
      <c r="K47" s="63">
        <v>16.1</v>
      </c>
      <c r="L47" s="221"/>
      <c r="M47" s="64">
        <f t="shared" si="5"/>
        <v>28</v>
      </c>
      <c r="N47" s="63">
        <v>47.2</v>
      </c>
      <c r="O47" s="64">
        <f t="shared" si="6"/>
        <v>4</v>
      </c>
      <c r="P47" s="63">
        <v>8.589079314467915</v>
      </c>
      <c r="Q47" s="64">
        <f t="shared" si="7"/>
        <v>24</v>
      </c>
      <c r="R47" s="63">
        <f>100000*218/2633000</f>
        <v>8.279529054310672</v>
      </c>
      <c r="S47" s="64">
        <f t="shared" si="8"/>
        <v>30</v>
      </c>
      <c r="T47" s="63">
        <v>12.6</v>
      </c>
      <c r="U47" s="64">
        <f t="shared" si="9"/>
        <v>38</v>
      </c>
      <c r="V47" s="63">
        <v>89.5</v>
      </c>
      <c r="W47" s="204" t="s">
        <v>78</v>
      </c>
    </row>
    <row r="48" spans="1:23" s="200" customFormat="1" ht="24" customHeight="1">
      <c r="A48" s="196" t="s">
        <v>48</v>
      </c>
      <c r="B48" s="197">
        <f t="shared" si="0"/>
        <v>6</v>
      </c>
      <c r="C48" s="61">
        <v>296.9</v>
      </c>
      <c r="D48" s="62">
        <f t="shared" si="1"/>
        <v>8</v>
      </c>
      <c r="E48" s="61">
        <v>47.1</v>
      </c>
      <c r="F48" s="62">
        <f t="shared" si="2"/>
        <v>14</v>
      </c>
      <c r="G48" s="61">
        <v>35</v>
      </c>
      <c r="H48" s="62">
        <f t="shared" si="3"/>
        <v>1</v>
      </c>
      <c r="I48" s="61">
        <v>45</v>
      </c>
      <c r="J48" s="62">
        <f t="shared" si="4"/>
        <v>17</v>
      </c>
      <c r="K48" s="61">
        <v>19</v>
      </c>
      <c r="L48" s="220"/>
      <c r="M48" s="62">
        <f t="shared" si="5"/>
        <v>10</v>
      </c>
      <c r="N48" s="61">
        <v>50.9</v>
      </c>
      <c r="O48" s="62">
        <f t="shared" si="6"/>
        <v>12</v>
      </c>
      <c r="P48" s="61">
        <v>8.055235903337168</v>
      </c>
      <c r="Q48" s="62">
        <f t="shared" si="7"/>
        <v>6</v>
      </c>
      <c r="R48" s="61">
        <f>100000*48/459000</f>
        <v>10.457516339869281</v>
      </c>
      <c r="S48" s="62">
        <f t="shared" si="8"/>
        <v>15</v>
      </c>
      <c r="T48" s="61">
        <v>16.1</v>
      </c>
      <c r="U48" s="62">
        <f t="shared" si="9"/>
        <v>18</v>
      </c>
      <c r="V48" s="61">
        <v>122.8</v>
      </c>
      <c r="W48" s="199" t="s">
        <v>107</v>
      </c>
    </row>
    <row r="49" spans="1:23" ht="12" customHeight="1">
      <c r="A49" s="201" t="s">
        <v>49</v>
      </c>
      <c r="B49" s="202">
        <f t="shared" si="0"/>
        <v>8</v>
      </c>
      <c r="C49" s="63">
        <v>290.9</v>
      </c>
      <c r="D49" s="64">
        <f t="shared" si="1"/>
        <v>32</v>
      </c>
      <c r="E49" s="63">
        <v>38.4</v>
      </c>
      <c r="F49" s="64">
        <f t="shared" si="2"/>
        <v>8</v>
      </c>
      <c r="G49" s="63">
        <v>36.1</v>
      </c>
      <c r="H49" s="64">
        <f t="shared" si="3"/>
        <v>13</v>
      </c>
      <c r="I49" s="63">
        <v>34.8</v>
      </c>
      <c r="J49" s="64">
        <f t="shared" si="4"/>
        <v>13</v>
      </c>
      <c r="K49" s="63">
        <f>100000*294/1496000</f>
        <v>19.6524064171123</v>
      </c>
      <c r="L49" s="221"/>
      <c r="M49" s="64">
        <f t="shared" si="5"/>
        <v>2</v>
      </c>
      <c r="N49" s="63">
        <v>59</v>
      </c>
      <c r="O49" s="64">
        <f t="shared" si="6"/>
        <v>32</v>
      </c>
      <c r="P49" s="63">
        <v>7.419786096256685</v>
      </c>
      <c r="Q49" s="64">
        <f t="shared" si="7"/>
        <v>10</v>
      </c>
      <c r="R49" s="63">
        <v>9.3</v>
      </c>
      <c r="S49" s="64">
        <f t="shared" si="8"/>
        <v>19</v>
      </c>
      <c r="T49" s="63">
        <f>100000*228/1496000</f>
        <v>15.240641711229946</v>
      </c>
      <c r="U49" s="64">
        <f t="shared" si="9"/>
        <v>28</v>
      </c>
      <c r="V49" s="63">
        <v>114.6</v>
      </c>
      <c r="W49" s="204" t="s">
        <v>89</v>
      </c>
    </row>
    <row r="50" spans="1:23" ht="12" customHeight="1">
      <c r="A50" s="201" t="s">
        <v>50</v>
      </c>
      <c r="B50" s="202">
        <f t="shared" si="0"/>
        <v>23</v>
      </c>
      <c r="C50" s="63">
        <v>260.1</v>
      </c>
      <c r="D50" s="64">
        <f t="shared" si="1"/>
        <v>45</v>
      </c>
      <c r="E50" s="63">
        <v>31.4</v>
      </c>
      <c r="F50" s="64">
        <f t="shared" si="2"/>
        <v>37</v>
      </c>
      <c r="G50" s="63">
        <v>28.3</v>
      </c>
      <c r="H50" s="64">
        <f t="shared" si="3"/>
        <v>14</v>
      </c>
      <c r="I50" s="63">
        <v>34.6</v>
      </c>
      <c r="J50" s="64">
        <f t="shared" si="4"/>
        <v>32</v>
      </c>
      <c r="K50" s="63">
        <f>100000*305/1849000</f>
        <v>16.495402920497565</v>
      </c>
      <c r="L50" s="221"/>
      <c r="M50" s="64">
        <f t="shared" si="5"/>
        <v>21</v>
      </c>
      <c r="N50" s="63">
        <v>48.7</v>
      </c>
      <c r="O50" s="64">
        <f t="shared" si="6"/>
        <v>39</v>
      </c>
      <c r="P50" s="63">
        <v>6.814494321254732</v>
      </c>
      <c r="Q50" s="64">
        <f t="shared" si="7"/>
        <v>8</v>
      </c>
      <c r="R50" s="63">
        <v>10.2</v>
      </c>
      <c r="S50" s="64">
        <f t="shared" si="8"/>
        <v>9</v>
      </c>
      <c r="T50" s="63">
        <f>100000*323/1849000</f>
        <v>17.46890210924824</v>
      </c>
      <c r="U50" s="64">
        <f t="shared" si="9"/>
        <v>24</v>
      </c>
      <c r="V50" s="63">
        <v>116.7</v>
      </c>
      <c r="W50" s="204" t="s">
        <v>108</v>
      </c>
    </row>
    <row r="51" spans="1:23" ht="12" customHeight="1">
      <c r="A51" s="192" t="s">
        <v>51</v>
      </c>
      <c r="B51" s="223">
        <f t="shared" si="0"/>
        <v>14</v>
      </c>
      <c r="C51" s="65">
        <f>100000*3366/1211000</f>
        <v>277.95210569777043</v>
      </c>
      <c r="D51" s="66">
        <f t="shared" si="1"/>
        <v>37</v>
      </c>
      <c r="E51" s="65">
        <v>37.2</v>
      </c>
      <c r="F51" s="66">
        <f t="shared" si="2"/>
        <v>19</v>
      </c>
      <c r="G51" s="65">
        <v>32.8</v>
      </c>
      <c r="H51" s="66">
        <f t="shared" si="3"/>
        <v>9</v>
      </c>
      <c r="I51" s="65">
        <v>36.3</v>
      </c>
      <c r="J51" s="66">
        <f t="shared" si="4"/>
        <v>25</v>
      </c>
      <c r="K51" s="65">
        <v>17.9</v>
      </c>
      <c r="L51" s="219"/>
      <c r="M51" s="66">
        <f t="shared" si="5"/>
        <v>6</v>
      </c>
      <c r="N51" s="65">
        <v>54.3</v>
      </c>
      <c r="O51" s="66">
        <f t="shared" si="6"/>
        <v>14</v>
      </c>
      <c r="P51" s="65">
        <v>8.00990916597853</v>
      </c>
      <c r="Q51" s="66">
        <f t="shared" si="7"/>
        <v>14</v>
      </c>
      <c r="R51" s="63">
        <v>9.1</v>
      </c>
      <c r="S51" s="66">
        <f t="shared" si="8"/>
        <v>22</v>
      </c>
      <c r="T51" s="65">
        <v>14.3</v>
      </c>
      <c r="U51" s="66">
        <f t="shared" si="9"/>
        <v>19</v>
      </c>
      <c r="V51" s="65">
        <v>121.8</v>
      </c>
      <c r="W51" s="206" t="s">
        <v>96</v>
      </c>
    </row>
    <row r="52" spans="1:23" ht="12" customHeight="1">
      <c r="A52" s="201" t="s">
        <v>52</v>
      </c>
      <c r="B52" s="202">
        <f t="shared" si="0"/>
        <v>19</v>
      </c>
      <c r="C52" s="63">
        <v>263.7</v>
      </c>
      <c r="D52" s="64">
        <f t="shared" si="1"/>
        <v>33</v>
      </c>
      <c r="E52" s="63">
        <v>37.8</v>
      </c>
      <c r="F52" s="64">
        <f t="shared" si="2"/>
        <v>21</v>
      </c>
      <c r="G52" s="63">
        <v>32.1</v>
      </c>
      <c r="H52" s="64">
        <f t="shared" si="3"/>
        <v>25</v>
      </c>
      <c r="I52" s="63">
        <v>25.3</v>
      </c>
      <c r="J52" s="64">
        <f t="shared" si="4"/>
        <v>23</v>
      </c>
      <c r="K52" s="63">
        <f>100000*209/1161000</f>
        <v>18.001722652885444</v>
      </c>
      <c r="L52" s="221"/>
      <c r="M52" s="64">
        <f t="shared" si="5"/>
        <v>16</v>
      </c>
      <c r="N52" s="63">
        <v>50</v>
      </c>
      <c r="O52" s="64">
        <f t="shared" si="6"/>
        <v>46</v>
      </c>
      <c r="P52" s="63">
        <v>5.684754521963824</v>
      </c>
      <c r="Q52" s="64">
        <f t="shared" si="7"/>
        <v>21</v>
      </c>
      <c r="R52" s="63">
        <v>8.5</v>
      </c>
      <c r="S52" s="64">
        <f t="shared" si="8"/>
        <v>4</v>
      </c>
      <c r="T52" s="63">
        <v>19.1</v>
      </c>
      <c r="U52" s="64">
        <f t="shared" si="9"/>
        <v>17</v>
      </c>
      <c r="V52" s="63">
        <v>123.4</v>
      </c>
      <c r="W52" s="204" t="s">
        <v>75</v>
      </c>
    </row>
    <row r="53" spans="1:23" s="200" customFormat="1" ht="24" customHeight="1">
      <c r="A53" s="196" t="s">
        <v>53</v>
      </c>
      <c r="B53" s="197">
        <f t="shared" si="0"/>
        <v>11</v>
      </c>
      <c r="C53" s="61">
        <v>280.5</v>
      </c>
      <c r="D53" s="62">
        <f t="shared" si="1"/>
        <v>46</v>
      </c>
      <c r="E53" s="61">
        <v>31.2</v>
      </c>
      <c r="F53" s="62">
        <f t="shared" si="2"/>
        <v>20</v>
      </c>
      <c r="G53" s="61">
        <v>32.3</v>
      </c>
      <c r="H53" s="62">
        <f t="shared" si="3"/>
        <v>16</v>
      </c>
      <c r="I53" s="61">
        <v>34.2</v>
      </c>
      <c r="J53" s="62">
        <f t="shared" si="4"/>
        <v>24</v>
      </c>
      <c r="K53" s="61">
        <v>18</v>
      </c>
      <c r="L53" s="220"/>
      <c r="M53" s="62">
        <f t="shared" si="5"/>
        <v>9</v>
      </c>
      <c r="N53" s="61">
        <v>51.1</v>
      </c>
      <c r="O53" s="62">
        <f t="shared" si="6"/>
        <v>27</v>
      </c>
      <c r="P53" s="61">
        <v>7.570621468926554</v>
      </c>
      <c r="Q53" s="62">
        <f t="shared" si="7"/>
        <v>12</v>
      </c>
      <c r="R53" s="61">
        <f>100000*87/940000</f>
        <v>9.25531914893617</v>
      </c>
      <c r="S53" s="62">
        <f t="shared" si="8"/>
        <v>5</v>
      </c>
      <c r="T53" s="61">
        <v>18.3</v>
      </c>
      <c r="U53" s="62">
        <f t="shared" si="9"/>
        <v>7</v>
      </c>
      <c r="V53" s="61">
        <v>144.7</v>
      </c>
      <c r="W53" s="199" t="s">
        <v>109</v>
      </c>
    </row>
    <row r="54" spans="1:23" ht="12" customHeight="1">
      <c r="A54" s="207" t="s">
        <v>54</v>
      </c>
      <c r="B54" s="208">
        <f t="shared" si="0"/>
        <v>47</v>
      </c>
      <c r="C54" s="209">
        <v>173.2</v>
      </c>
      <c r="D54" s="67">
        <f t="shared" si="1"/>
        <v>47</v>
      </c>
      <c r="E54" s="209">
        <v>17.1</v>
      </c>
      <c r="F54" s="67">
        <f t="shared" si="2"/>
        <v>47</v>
      </c>
      <c r="G54" s="209">
        <v>21.4</v>
      </c>
      <c r="H54" s="67">
        <f t="shared" si="3"/>
        <v>47</v>
      </c>
      <c r="I54" s="209">
        <v>11.3</v>
      </c>
      <c r="J54" s="67">
        <f t="shared" si="4"/>
        <v>47</v>
      </c>
      <c r="K54" s="209">
        <v>10.4</v>
      </c>
      <c r="L54" s="221"/>
      <c r="M54" s="67">
        <f t="shared" si="5"/>
        <v>44</v>
      </c>
      <c r="N54" s="209">
        <v>39.6</v>
      </c>
      <c r="O54" s="67">
        <f t="shared" si="6"/>
        <v>45</v>
      </c>
      <c r="P54" s="209">
        <v>5.961251862891207</v>
      </c>
      <c r="Q54" s="67">
        <f t="shared" si="7"/>
        <v>41</v>
      </c>
      <c r="R54" s="209">
        <f>100000*48/683000</f>
        <v>7.027818448023426</v>
      </c>
      <c r="S54" s="67">
        <f t="shared" si="8"/>
        <v>42</v>
      </c>
      <c r="T54" s="209">
        <v>10</v>
      </c>
      <c r="U54" s="67">
        <f t="shared" si="9"/>
        <v>47</v>
      </c>
      <c r="V54" s="209">
        <v>63.8</v>
      </c>
      <c r="W54" s="211" t="s">
        <v>110</v>
      </c>
    </row>
    <row r="55" spans="1:21" ht="13.5">
      <c r="A55" s="212" t="s">
        <v>124</v>
      </c>
      <c r="B55" s="213" t="s">
        <v>197</v>
      </c>
      <c r="C55" s="213"/>
      <c r="D55" s="213"/>
      <c r="E55" s="213"/>
      <c r="F55" s="213"/>
      <c r="G55" s="213"/>
      <c r="H55" s="214"/>
      <c r="J55" s="213"/>
      <c r="K55" s="213"/>
      <c r="L55" s="224"/>
      <c r="M55" s="224"/>
      <c r="N55" s="213"/>
      <c r="O55" s="213"/>
      <c r="P55" s="213"/>
      <c r="Q55" s="214"/>
      <c r="S55" s="214"/>
      <c r="U55" s="214"/>
    </row>
    <row r="56" spans="2:21" ht="13.5">
      <c r="B56" s="215" t="s">
        <v>189</v>
      </c>
      <c r="C56" s="213"/>
      <c r="D56" s="213"/>
      <c r="E56" s="213"/>
      <c r="F56" s="213"/>
      <c r="G56" s="213"/>
      <c r="H56" s="214"/>
      <c r="J56" s="213"/>
      <c r="K56" s="213"/>
      <c r="L56" s="224"/>
      <c r="M56" s="213"/>
      <c r="N56" s="213"/>
      <c r="O56" s="213"/>
      <c r="P56" s="213"/>
      <c r="Q56" s="214"/>
      <c r="S56" s="214"/>
      <c r="U56" s="214"/>
    </row>
  </sheetData>
  <mergeCells count="20">
    <mergeCell ref="S5:T5"/>
    <mergeCell ref="F4:G4"/>
    <mergeCell ref="W4:W6"/>
    <mergeCell ref="S4:T4"/>
    <mergeCell ref="Q5:R5"/>
    <mergeCell ref="H4:I4"/>
    <mergeCell ref="O5:P5"/>
    <mergeCell ref="U4:V5"/>
    <mergeCell ref="H5:I5"/>
    <mergeCell ref="J4:K4"/>
    <mergeCell ref="J5:K5"/>
    <mergeCell ref="A4:A6"/>
    <mergeCell ref="B4:C5"/>
    <mergeCell ref="Q4:R4"/>
    <mergeCell ref="M4:N4"/>
    <mergeCell ref="O4:P4"/>
    <mergeCell ref="M5:N5"/>
    <mergeCell ref="D5:E5"/>
    <mergeCell ref="F5:G5"/>
    <mergeCell ref="D4:E4"/>
  </mergeCells>
  <printOptions horizontalCentered="1" verticalCentered="1"/>
  <pageMargins left="0.5905511811023623" right="0.3937007874015748" top="0" bottom="0" header="0.5118110236220472" footer="0.5118110236220472"/>
  <pageSetup blackAndWhite="1" fitToWidth="2" fitToHeight="1" orientation="portrait" paperSize="9" scale="92" r:id="rId1"/>
  <ignoredErrors>
    <ignoredError sqref="C36 C40 C51 E12:E20 E21:E22 F21:G22 E29:E36 E37:E47 F37:G47 I21:M22 N29:N36 I29:M36 F29:G36 N21:N22 E8:E11 O12:U22 N12:N20 T11 F23:G28 I23:M28 N23:N28 E23:E28 R29:V50 R53:R54 I2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5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8.625" style="161" customWidth="1"/>
    <col min="2" max="2" width="5.625" style="161" customWidth="1"/>
    <col min="3" max="3" width="9.625" style="161" customWidth="1"/>
    <col min="4" max="4" width="5.625" style="161" customWidth="1"/>
    <col min="5" max="5" width="9.625" style="161" customWidth="1"/>
    <col min="6" max="6" width="5.625" style="161" customWidth="1"/>
    <col min="7" max="7" width="9.625" style="161" customWidth="1"/>
    <col min="8" max="8" width="5.625" style="162" customWidth="1"/>
    <col min="9" max="9" width="9.625" style="162" customWidth="1"/>
    <col min="10" max="10" width="5.625" style="161" customWidth="1"/>
    <col min="11" max="11" width="9.625" style="161" customWidth="1"/>
    <col min="12" max="12" width="5.625" style="161" customWidth="1"/>
    <col min="13" max="13" width="9.625" style="213" customWidth="1"/>
    <col min="14" max="14" width="3.625" style="72" customWidth="1"/>
    <col min="15" max="15" width="5.625" style="161" customWidth="1"/>
    <col min="16" max="16" width="9.625" style="161" customWidth="1"/>
    <col min="17" max="17" width="5.625" style="162" customWidth="1"/>
    <col min="18" max="18" width="9.625" style="162" customWidth="1"/>
    <col min="19" max="19" width="5.625" style="162" customWidth="1"/>
    <col min="20" max="20" width="9.625" style="162" customWidth="1"/>
    <col min="21" max="21" width="5.625" style="162" customWidth="1"/>
    <col min="22" max="22" width="9.625" style="162" customWidth="1"/>
    <col min="23" max="23" width="5.625" style="162" customWidth="1"/>
    <col min="24" max="24" width="9.625" style="162" customWidth="1"/>
    <col min="25" max="25" width="5.625" style="162" customWidth="1"/>
    <col min="26" max="26" width="9.625" style="162" customWidth="1"/>
    <col min="27" max="27" width="5.625" style="161" customWidth="1"/>
    <col min="28" max="16384" width="9.00390625" style="159" customWidth="1"/>
  </cols>
  <sheetData>
    <row r="1" spans="1:27" ht="18.75">
      <c r="A1" s="155" t="s">
        <v>55</v>
      </c>
      <c r="B1" s="156"/>
      <c r="C1" s="156"/>
      <c r="D1" s="157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6"/>
      <c r="Y1" s="156"/>
      <c r="Z1" s="159"/>
      <c r="AA1" s="225"/>
    </row>
    <row r="2" spans="1:27" ht="18.75">
      <c r="A2" s="155" t="s">
        <v>125</v>
      </c>
      <c r="B2" s="160"/>
      <c r="D2" s="157" t="s">
        <v>177</v>
      </c>
      <c r="E2" s="158"/>
      <c r="F2" s="158"/>
      <c r="G2" s="158"/>
      <c r="H2" s="158"/>
      <c r="I2" s="158"/>
      <c r="J2" s="158"/>
      <c r="K2" s="158"/>
      <c r="L2" s="158"/>
      <c r="M2" s="159"/>
      <c r="N2" s="158"/>
      <c r="O2" s="157" t="s">
        <v>173</v>
      </c>
      <c r="P2" s="158"/>
      <c r="Q2" s="158"/>
      <c r="R2" s="158"/>
      <c r="S2" s="158"/>
      <c r="T2" s="158"/>
      <c r="U2" s="158"/>
      <c r="V2" s="158"/>
      <c r="W2" s="158"/>
      <c r="Y2" s="163"/>
      <c r="Z2" s="159"/>
      <c r="AA2" s="225"/>
    </row>
    <row r="3" spans="1:27" ht="14.25" thickBot="1">
      <c r="A3" s="164"/>
      <c r="B3" s="164"/>
      <c r="C3" s="164"/>
      <c r="D3" s="164"/>
      <c r="E3" s="164"/>
      <c r="F3" s="164"/>
      <c r="G3" s="164"/>
      <c r="H3" s="165"/>
      <c r="I3" s="165"/>
      <c r="J3" s="164"/>
      <c r="K3" s="164"/>
      <c r="L3" s="72"/>
      <c r="M3" s="226"/>
      <c r="O3" s="164"/>
      <c r="P3" s="164"/>
      <c r="Q3" s="165"/>
      <c r="R3" s="165"/>
      <c r="S3" s="165"/>
      <c r="T3" s="165"/>
      <c r="U3" s="165"/>
      <c r="V3" s="165"/>
      <c r="W3" s="165"/>
      <c r="X3" s="165"/>
      <c r="Y3" s="166"/>
      <c r="Z3" s="159"/>
      <c r="AA3" s="166" t="s">
        <v>196</v>
      </c>
    </row>
    <row r="4" spans="1:27" ht="10.5" customHeight="1">
      <c r="A4" s="167" t="s">
        <v>1</v>
      </c>
      <c r="B4" s="168" t="s">
        <v>126</v>
      </c>
      <c r="C4" s="169"/>
      <c r="D4" s="168" t="s">
        <v>172</v>
      </c>
      <c r="E4" s="227"/>
      <c r="F4" s="228" t="s">
        <v>127</v>
      </c>
      <c r="G4" s="227"/>
      <c r="H4" s="228" t="s">
        <v>128</v>
      </c>
      <c r="I4" s="227"/>
      <c r="J4" s="228" t="s">
        <v>129</v>
      </c>
      <c r="K4" s="227"/>
      <c r="L4" s="168" t="s">
        <v>130</v>
      </c>
      <c r="M4" s="229"/>
      <c r="N4" s="78"/>
      <c r="O4" s="229" t="s">
        <v>147</v>
      </c>
      <c r="P4" s="227"/>
      <c r="Q4" s="228" t="s">
        <v>131</v>
      </c>
      <c r="R4" s="227"/>
      <c r="S4" s="228" t="s">
        <v>132</v>
      </c>
      <c r="T4" s="227"/>
      <c r="U4" s="168" t="s">
        <v>133</v>
      </c>
      <c r="V4" s="229"/>
      <c r="W4" s="216"/>
      <c r="X4" s="217"/>
      <c r="Y4" s="228" t="s">
        <v>135</v>
      </c>
      <c r="Z4" s="227"/>
      <c r="AA4" s="173" t="s">
        <v>1</v>
      </c>
    </row>
    <row r="5" spans="1:27" ht="33" customHeight="1">
      <c r="A5" s="174"/>
      <c r="B5" s="175"/>
      <c r="C5" s="176"/>
      <c r="D5" s="177"/>
      <c r="E5" s="178"/>
      <c r="F5" s="177"/>
      <c r="G5" s="178"/>
      <c r="H5" s="177"/>
      <c r="I5" s="178"/>
      <c r="J5" s="177"/>
      <c r="K5" s="178"/>
      <c r="L5" s="177"/>
      <c r="M5" s="218"/>
      <c r="N5" s="78"/>
      <c r="O5" s="218"/>
      <c r="P5" s="178"/>
      <c r="Q5" s="177"/>
      <c r="R5" s="178"/>
      <c r="S5" s="177"/>
      <c r="T5" s="178"/>
      <c r="U5" s="177"/>
      <c r="V5" s="178"/>
      <c r="W5" s="175" t="s">
        <v>134</v>
      </c>
      <c r="X5" s="178"/>
      <c r="Y5" s="177"/>
      <c r="Z5" s="178"/>
      <c r="AA5" s="184"/>
    </row>
    <row r="6" spans="1:27" ht="27.75" customHeight="1">
      <c r="A6" s="185"/>
      <c r="B6" s="186" t="s">
        <v>2</v>
      </c>
      <c r="C6" s="187" t="s">
        <v>116</v>
      </c>
      <c r="D6" s="186" t="s">
        <v>2</v>
      </c>
      <c r="E6" s="187" t="s">
        <v>116</v>
      </c>
      <c r="F6" s="186" t="s">
        <v>2</v>
      </c>
      <c r="G6" s="187" t="s">
        <v>116</v>
      </c>
      <c r="H6" s="186" t="s">
        <v>2</v>
      </c>
      <c r="I6" s="187" t="s">
        <v>116</v>
      </c>
      <c r="J6" s="186" t="s">
        <v>2</v>
      </c>
      <c r="K6" s="187" t="s">
        <v>116</v>
      </c>
      <c r="L6" s="186" t="s">
        <v>2</v>
      </c>
      <c r="M6" s="190" t="s">
        <v>116</v>
      </c>
      <c r="N6" s="78"/>
      <c r="O6" s="189" t="s">
        <v>2</v>
      </c>
      <c r="P6" s="187" t="s">
        <v>116</v>
      </c>
      <c r="Q6" s="186" t="s">
        <v>2</v>
      </c>
      <c r="R6" s="187" t="s">
        <v>116</v>
      </c>
      <c r="S6" s="186" t="s">
        <v>2</v>
      </c>
      <c r="T6" s="187" t="s">
        <v>116</v>
      </c>
      <c r="U6" s="186" t="s">
        <v>2</v>
      </c>
      <c r="V6" s="187" t="s">
        <v>116</v>
      </c>
      <c r="W6" s="186" t="s">
        <v>2</v>
      </c>
      <c r="X6" s="187" t="s">
        <v>116</v>
      </c>
      <c r="Y6" s="186" t="s">
        <v>2</v>
      </c>
      <c r="Z6" s="187" t="s">
        <v>116</v>
      </c>
      <c r="AA6" s="191"/>
    </row>
    <row r="7" spans="1:27" ht="12" customHeight="1">
      <c r="A7" s="192" t="s">
        <v>8</v>
      </c>
      <c r="B7" s="193"/>
      <c r="C7" s="59">
        <v>126.5</v>
      </c>
      <c r="D7" s="60"/>
      <c r="E7" s="59">
        <v>4.4</v>
      </c>
      <c r="F7" s="60"/>
      <c r="G7" s="59">
        <v>1.9</v>
      </c>
      <c r="H7" s="60"/>
      <c r="I7" s="59">
        <v>10.2</v>
      </c>
      <c r="J7" s="60"/>
      <c r="K7" s="59">
        <v>75.3</v>
      </c>
      <c r="L7" s="60"/>
      <c r="M7" s="59">
        <v>10.8</v>
      </c>
      <c r="N7" s="219"/>
      <c r="O7" s="60"/>
      <c r="P7" s="59">
        <v>12.5</v>
      </c>
      <c r="Q7" s="60"/>
      <c r="R7" s="59">
        <v>14.9</v>
      </c>
      <c r="S7" s="60"/>
      <c r="T7" s="59">
        <v>18.6</v>
      </c>
      <c r="U7" s="60"/>
      <c r="V7" s="59">
        <v>30.7</v>
      </c>
      <c r="W7" s="60"/>
      <c r="X7" s="59">
        <v>8.7</v>
      </c>
      <c r="Y7" s="60"/>
      <c r="Z7" s="59">
        <v>25.5</v>
      </c>
      <c r="AA7" s="195" t="s">
        <v>71</v>
      </c>
    </row>
    <row r="8" spans="1:27" s="200" customFormat="1" ht="24" customHeight="1">
      <c r="A8" s="196" t="s">
        <v>9</v>
      </c>
      <c r="B8" s="197">
        <f aca="true" t="shared" si="0" ref="B8:B54">IF(C8="","",RANK(C8,C$8:C$54))</f>
        <v>30</v>
      </c>
      <c r="C8" s="61">
        <v>132</v>
      </c>
      <c r="D8" s="62">
        <f aca="true" t="shared" si="1" ref="D8:D54">IF(E8="","",RANK(E8,E$8:E$54))</f>
        <v>40</v>
      </c>
      <c r="E8" s="61">
        <v>3.5</v>
      </c>
      <c r="F8" s="62">
        <f aca="true" t="shared" si="2" ref="F8:F54">IF(G8="","",RANK(G8,G$8:G$54))</f>
        <v>29</v>
      </c>
      <c r="G8" s="230">
        <f>89*100000/5645000</f>
        <v>1.5766164747564215</v>
      </c>
      <c r="H8" s="62">
        <f aca="true" t="shared" si="3" ref="H8:H54">IF(I8="","",RANK(I8,I$8:I$54))</f>
        <v>19</v>
      </c>
      <c r="I8" s="61">
        <v>11.2</v>
      </c>
      <c r="J8" s="62">
        <f aca="true" t="shared" si="4" ref="J8:J54">IF(K8="","",RANK(K8,K$8:K$54))</f>
        <v>33</v>
      </c>
      <c r="K8" s="61">
        <v>74.9</v>
      </c>
      <c r="L8" s="62">
        <f aca="true" t="shared" si="5" ref="L8:L54">IF(M8="","",RANK(M8,M$8:M$54))</f>
        <v>39</v>
      </c>
      <c r="M8" s="61">
        <v>9.7</v>
      </c>
      <c r="N8" s="220"/>
      <c r="O8" s="62">
        <f aca="true" t="shared" si="6" ref="O8:O54">IF(P8="","",RANK(P8,P$8:P$54))</f>
        <v>40</v>
      </c>
      <c r="P8" s="61">
        <v>10.2</v>
      </c>
      <c r="Q8" s="62">
        <f aca="true" t="shared" si="7" ref="Q8:Q54">IF(R8="","",RANK(R8,R$8:R$54))</f>
        <v>13</v>
      </c>
      <c r="R8" s="61">
        <v>19.7</v>
      </c>
      <c r="S8" s="62">
        <f aca="true" t="shared" si="8" ref="S8:S54">IF(T8="","",RANK(T8,T$8:T$54))</f>
        <v>44</v>
      </c>
      <c r="T8" s="61">
        <v>12.6</v>
      </c>
      <c r="U8" s="62">
        <f aca="true" t="shared" si="9" ref="U8:U54">IF(V8="","",RANK(V8,V$8:V$54))</f>
        <v>36</v>
      </c>
      <c r="V8" s="61">
        <v>30.1</v>
      </c>
      <c r="W8" s="62">
        <f aca="true" t="shared" si="10" ref="W8:W54">IF(X8="","",RANK(X8,X$8:X$54))</f>
        <v>28</v>
      </c>
      <c r="X8" s="61">
        <v>9.7</v>
      </c>
      <c r="Y8" s="62">
        <f aca="true" t="shared" si="11" ref="Y8:Y54">IF(Z8="","",RANK(Z8,Z$8:Z$54))</f>
        <v>16</v>
      </c>
      <c r="Z8" s="61">
        <v>27.1</v>
      </c>
      <c r="AA8" s="199" t="s">
        <v>72</v>
      </c>
    </row>
    <row r="9" spans="1:27" ht="12" customHeight="1">
      <c r="A9" s="201" t="s">
        <v>10</v>
      </c>
      <c r="B9" s="202">
        <f t="shared" si="0"/>
        <v>16</v>
      </c>
      <c r="C9" s="63">
        <v>148.7</v>
      </c>
      <c r="D9" s="64">
        <f t="shared" si="1"/>
        <v>29</v>
      </c>
      <c r="E9" s="63">
        <v>4.4</v>
      </c>
      <c r="F9" s="64">
        <f t="shared" si="2"/>
        <v>21</v>
      </c>
      <c r="G9" s="231">
        <f>25*100000/1458000</f>
        <v>1.7146776406035664</v>
      </c>
      <c r="H9" s="64">
        <f t="shared" si="3"/>
        <v>12</v>
      </c>
      <c r="I9" s="63">
        <v>12.2</v>
      </c>
      <c r="J9" s="64">
        <f t="shared" si="4"/>
        <v>17</v>
      </c>
      <c r="K9" s="63">
        <v>89.4</v>
      </c>
      <c r="L9" s="64">
        <f t="shared" si="5"/>
        <v>45</v>
      </c>
      <c r="M9" s="63">
        <v>7.5</v>
      </c>
      <c r="N9" s="221"/>
      <c r="O9" s="64">
        <f t="shared" si="6"/>
        <v>9</v>
      </c>
      <c r="P9" s="63">
        <v>14.5</v>
      </c>
      <c r="Q9" s="64">
        <f t="shared" si="7"/>
        <v>4</v>
      </c>
      <c r="R9" s="63">
        <v>22.8</v>
      </c>
      <c r="S9" s="64">
        <f t="shared" si="8"/>
        <v>24</v>
      </c>
      <c r="T9" s="63">
        <v>20.6</v>
      </c>
      <c r="U9" s="64">
        <f t="shared" si="9"/>
        <v>25</v>
      </c>
      <c r="V9" s="63">
        <v>35</v>
      </c>
      <c r="W9" s="64">
        <f t="shared" si="10"/>
        <v>22</v>
      </c>
      <c r="X9" s="63">
        <v>10.2</v>
      </c>
      <c r="Y9" s="64">
        <f t="shared" si="11"/>
        <v>2</v>
      </c>
      <c r="Z9" s="63">
        <v>39.5</v>
      </c>
      <c r="AA9" s="204" t="s">
        <v>73</v>
      </c>
    </row>
    <row r="10" spans="1:27" ht="12" customHeight="1">
      <c r="A10" s="201" t="s">
        <v>11</v>
      </c>
      <c r="B10" s="202">
        <f t="shared" si="0"/>
        <v>13</v>
      </c>
      <c r="C10" s="63">
        <v>152.1</v>
      </c>
      <c r="D10" s="64">
        <f t="shared" si="1"/>
        <v>40</v>
      </c>
      <c r="E10" s="63">
        <v>3.5</v>
      </c>
      <c r="F10" s="64">
        <f t="shared" si="2"/>
        <v>30</v>
      </c>
      <c r="G10" s="63">
        <f>22*100000/1396000</f>
        <v>1.5759312320916905</v>
      </c>
      <c r="H10" s="64">
        <f t="shared" si="3"/>
        <v>9</v>
      </c>
      <c r="I10" s="63">
        <v>12.5</v>
      </c>
      <c r="J10" s="64">
        <f t="shared" si="4"/>
        <v>15</v>
      </c>
      <c r="K10" s="63">
        <v>90.5</v>
      </c>
      <c r="L10" s="64">
        <f t="shared" si="5"/>
        <v>27</v>
      </c>
      <c r="M10" s="63">
        <v>12.3</v>
      </c>
      <c r="N10" s="221"/>
      <c r="O10" s="64">
        <f t="shared" si="6"/>
        <v>33</v>
      </c>
      <c r="P10" s="63">
        <v>11.1</v>
      </c>
      <c r="Q10" s="64">
        <f t="shared" si="7"/>
        <v>8</v>
      </c>
      <c r="R10" s="63">
        <v>20.8</v>
      </c>
      <c r="S10" s="64">
        <f t="shared" si="8"/>
        <v>21</v>
      </c>
      <c r="T10" s="63">
        <v>21.5</v>
      </c>
      <c r="U10" s="64">
        <f t="shared" si="9"/>
        <v>17</v>
      </c>
      <c r="V10" s="63">
        <v>38.1</v>
      </c>
      <c r="W10" s="64">
        <f t="shared" si="10"/>
        <v>19</v>
      </c>
      <c r="X10" s="63">
        <v>10.7</v>
      </c>
      <c r="Y10" s="64">
        <f t="shared" si="11"/>
        <v>3</v>
      </c>
      <c r="Z10" s="63">
        <v>37.8</v>
      </c>
      <c r="AA10" s="204" t="s">
        <v>74</v>
      </c>
    </row>
    <row r="11" spans="1:27" ht="12" customHeight="1">
      <c r="A11" s="201" t="s">
        <v>12</v>
      </c>
      <c r="B11" s="202">
        <f t="shared" si="0"/>
        <v>38</v>
      </c>
      <c r="C11" s="63">
        <v>120.2</v>
      </c>
      <c r="D11" s="64">
        <f t="shared" si="1"/>
        <v>33</v>
      </c>
      <c r="E11" s="63">
        <v>3.9</v>
      </c>
      <c r="F11" s="64">
        <f t="shared" si="2"/>
        <v>46</v>
      </c>
      <c r="G11" s="231">
        <f>22*100/2360</f>
        <v>0.9322033898305084</v>
      </c>
      <c r="H11" s="64">
        <f t="shared" si="3"/>
        <v>43</v>
      </c>
      <c r="I11" s="63">
        <v>8</v>
      </c>
      <c r="J11" s="64">
        <f t="shared" si="4"/>
        <v>41</v>
      </c>
      <c r="K11" s="63">
        <v>66.7</v>
      </c>
      <c r="L11" s="64">
        <f t="shared" si="5"/>
        <v>45</v>
      </c>
      <c r="M11" s="63">
        <v>7.5</v>
      </c>
      <c r="N11" s="221"/>
      <c r="O11" s="64">
        <f t="shared" si="6"/>
        <v>44</v>
      </c>
      <c r="P11" s="63">
        <v>9.5</v>
      </c>
      <c r="Q11" s="64">
        <f t="shared" si="7"/>
        <v>43</v>
      </c>
      <c r="R11" s="63">
        <v>11.5</v>
      </c>
      <c r="S11" s="64">
        <f t="shared" si="8"/>
        <v>30</v>
      </c>
      <c r="T11" s="63">
        <v>19.3</v>
      </c>
      <c r="U11" s="64">
        <f t="shared" si="9"/>
        <v>39</v>
      </c>
      <c r="V11" s="63">
        <v>28.6</v>
      </c>
      <c r="W11" s="64">
        <f t="shared" si="10"/>
        <v>37</v>
      </c>
      <c r="X11" s="63">
        <v>8.4</v>
      </c>
      <c r="Y11" s="64">
        <f t="shared" si="11"/>
        <v>21</v>
      </c>
      <c r="Z11" s="63">
        <v>26.3</v>
      </c>
      <c r="AA11" s="204" t="s">
        <v>75</v>
      </c>
    </row>
    <row r="12" spans="1:27" ht="12" customHeight="1">
      <c r="A12" s="201" t="s">
        <v>13</v>
      </c>
      <c r="B12" s="202">
        <f t="shared" si="0"/>
        <v>10</v>
      </c>
      <c r="C12" s="63">
        <v>158.2</v>
      </c>
      <c r="D12" s="64">
        <f t="shared" si="1"/>
        <v>13</v>
      </c>
      <c r="E12" s="63">
        <v>5.2</v>
      </c>
      <c r="F12" s="64">
        <f t="shared" si="2"/>
        <v>43</v>
      </c>
      <c r="G12" s="231">
        <f>12*100/1164</f>
        <v>1.0309278350515463</v>
      </c>
      <c r="H12" s="64">
        <f t="shared" si="3"/>
        <v>5</v>
      </c>
      <c r="I12" s="63">
        <v>12.9</v>
      </c>
      <c r="J12" s="64">
        <f t="shared" si="4"/>
        <v>7</v>
      </c>
      <c r="K12" s="63">
        <v>100.3</v>
      </c>
      <c r="L12" s="64">
        <f t="shared" si="5"/>
        <v>32</v>
      </c>
      <c r="M12" s="63">
        <v>11.6</v>
      </c>
      <c r="N12" s="221"/>
      <c r="O12" s="64">
        <f t="shared" si="6"/>
        <v>24</v>
      </c>
      <c r="P12" s="63">
        <v>12.2</v>
      </c>
      <c r="Q12" s="64">
        <f t="shared" si="7"/>
        <v>17</v>
      </c>
      <c r="R12" s="63">
        <v>18.1</v>
      </c>
      <c r="S12" s="64">
        <f t="shared" si="8"/>
        <v>15</v>
      </c>
      <c r="T12" s="63">
        <v>24.5</v>
      </c>
      <c r="U12" s="64">
        <f t="shared" si="9"/>
        <v>7</v>
      </c>
      <c r="V12" s="63">
        <v>43.6</v>
      </c>
      <c r="W12" s="64">
        <f t="shared" si="10"/>
        <v>16</v>
      </c>
      <c r="X12" s="63">
        <v>11.1</v>
      </c>
      <c r="Y12" s="64">
        <f t="shared" si="11"/>
        <v>1</v>
      </c>
      <c r="Z12" s="63">
        <v>44.6</v>
      </c>
      <c r="AA12" s="204" t="s">
        <v>76</v>
      </c>
    </row>
    <row r="13" spans="1:27" s="200" customFormat="1" ht="24" customHeight="1">
      <c r="A13" s="196" t="s">
        <v>14</v>
      </c>
      <c r="B13" s="197">
        <f t="shared" si="0"/>
        <v>7</v>
      </c>
      <c r="C13" s="61">
        <v>159.6</v>
      </c>
      <c r="D13" s="62">
        <f t="shared" si="1"/>
        <v>17</v>
      </c>
      <c r="E13" s="61">
        <v>5</v>
      </c>
      <c r="F13" s="62">
        <f t="shared" si="2"/>
        <v>25</v>
      </c>
      <c r="G13" s="230">
        <f>20*100/1224</f>
        <v>1.6339869281045751</v>
      </c>
      <c r="H13" s="62">
        <f t="shared" si="3"/>
        <v>29</v>
      </c>
      <c r="I13" s="61">
        <v>10.5</v>
      </c>
      <c r="J13" s="62">
        <f t="shared" si="4"/>
        <v>14</v>
      </c>
      <c r="K13" s="61">
        <v>93.1</v>
      </c>
      <c r="L13" s="62">
        <f t="shared" si="5"/>
        <v>9</v>
      </c>
      <c r="M13" s="61">
        <v>14.6</v>
      </c>
      <c r="N13" s="220"/>
      <c r="O13" s="62">
        <f t="shared" si="6"/>
        <v>39</v>
      </c>
      <c r="P13" s="61">
        <v>10.4</v>
      </c>
      <c r="Q13" s="62">
        <f t="shared" si="7"/>
        <v>15</v>
      </c>
      <c r="R13" s="61">
        <v>18.4</v>
      </c>
      <c r="S13" s="62">
        <f t="shared" si="8"/>
        <v>4</v>
      </c>
      <c r="T13" s="61">
        <v>35.5</v>
      </c>
      <c r="U13" s="62">
        <f t="shared" si="9"/>
        <v>18</v>
      </c>
      <c r="V13" s="61">
        <v>37.7</v>
      </c>
      <c r="W13" s="62">
        <f t="shared" si="10"/>
        <v>39</v>
      </c>
      <c r="X13" s="230">
        <f>101*100/1224</f>
        <v>8.251633986928105</v>
      </c>
      <c r="Y13" s="62">
        <f t="shared" si="11"/>
        <v>8</v>
      </c>
      <c r="Z13" s="61">
        <v>30.2</v>
      </c>
      <c r="AA13" s="199" t="s">
        <v>77</v>
      </c>
    </row>
    <row r="14" spans="1:27" ht="12" customHeight="1">
      <c r="A14" s="201" t="s">
        <v>15</v>
      </c>
      <c r="B14" s="202">
        <f t="shared" si="0"/>
        <v>8</v>
      </c>
      <c r="C14" s="63">
        <v>159.2</v>
      </c>
      <c r="D14" s="64">
        <f t="shared" si="1"/>
        <v>13</v>
      </c>
      <c r="E14" s="63">
        <v>5.2</v>
      </c>
      <c r="F14" s="64">
        <f t="shared" si="2"/>
        <v>38</v>
      </c>
      <c r="G14" s="231">
        <f>25*100/2103</f>
        <v>1.1887779362815025</v>
      </c>
      <c r="H14" s="64">
        <f t="shared" si="3"/>
        <v>13</v>
      </c>
      <c r="I14" s="63">
        <v>12.1</v>
      </c>
      <c r="J14" s="64">
        <f t="shared" si="4"/>
        <v>23</v>
      </c>
      <c r="K14" s="63">
        <v>84.2</v>
      </c>
      <c r="L14" s="64">
        <f t="shared" si="5"/>
        <v>14</v>
      </c>
      <c r="M14" s="63">
        <v>14</v>
      </c>
      <c r="N14" s="221"/>
      <c r="O14" s="64">
        <f t="shared" si="6"/>
        <v>31</v>
      </c>
      <c r="P14" s="63">
        <v>11.2</v>
      </c>
      <c r="Q14" s="64">
        <f t="shared" si="7"/>
        <v>27</v>
      </c>
      <c r="R14" s="63">
        <v>15.2</v>
      </c>
      <c r="S14" s="64">
        <f t="shared" si="8"/>
        <v>10</v>
      </c>
      <c r="T14" s="63">
        <v>27</v>
      </c>
      <c r="U14" s="64">
        <f t="shared" si="9"/>
        <v>27</v>
      </c>
      <c r="V14" s="63">
        <v>34.5</v>
      </c>
      <c r="W14" s="64">
        <f t="shared" si="10"/>
        <v>31</v>
      </c>
      <c r="X14" s="231">
        <f>197*100/2103</f>
        <v>9.367570137898241</v>
      </c>
      <c r="Y14" s="64">
        <f t="shared" si="11"/>
        <v>13</v>
      </c>
      <c r="Z14" s="63">
        <v>27.9</v>
      </c>
      <c r="AA14" s="204" t="s">
        <v>78</v>
      </c>
    </row>
    <row r="15" spans="1:27" ht="12" customHeight="1">
      <c r="A15" s="201" t="s">
        <v>16</v>
      </c>
      <c r="B15" s="202">
        <f t="shared" si="0"/>
        <v>26</v>
      </c>
      <c r="C15" s="63">
        <v>137.3</v>
      </c>
      <c r="D15" s="64">
        <f t="shared" si="1"/>
        <v>24</v>
      </c>
      <c r="E15" s="63">
        <v>4.6</v>
      </c>
      <c r="F15" s="64">
        <f t="shared" si="2"/>
        <v>41</v>
      </c>
      <c r="G15" s="63">
        <v>1.1</v>
      </c>
      <c r="H15" s="64">
        <f t="shared" si="3"/>
        <v>7</v>
      </c>
      <c r="I15" s="63">
        <v>12.7</v>
      </c>
      <c r="J15" s="64">
        <f t="shared" si="4"/>
        <v>31</v>
      </c>
      <c r="K15" s="63">
        <v>76.4</v>
      </c>
      <c r="L15" s="64">
        <f t="shared" si="5"/>
        <v>37</v>
      </c>
      <c r="M15" s="63">
        <v>10.7</v>
      </c>
      <c r="N15" s="221"/>
      <c r="O15" s="64">
        <f t="shared" si="6"/>
        <v>34</v>
      </c>
      <c r="P15" s="63">
        <v>11</v>
      </c>
      <c r="Q15" s="64">
        <f t="shared" si="7"/>
        <v>29</v>
      </c>
      <c r="R15" s="63">
        <v>14.8</v>
      </c>
      <c r="S15" s="64">
        <f t="shared" si="8"/>
        <v>17</v>
      </c>
      <c r="T15" s="63">
        <v>23.7</v>
      </c>
      <c r="U15" s="64">
        <f t="shared" si="9"/>
        <v>22</v>
      </c>
      <c r="V15" s="63">
        <v>36.1</v>
      </c>
      <c r="W15" s="64">
        <f t="shared" si="10"/>
        <v>11</v>
      </c>
      <c r="X15" s="63">
        <v>12.2</v>
      </c>
      <c r="Y15" s="64">
        <f t="shared" si="11"/>
        <v>29</v>
      </c>
      <c r="Z15" s="63">
        <v>25.3</v>
      </c>
      <c r="AA15" s="204" t="s">
        <v>79</v>
      </c>
    </row>
    <row r="16" spans="1:27" ht="12" customHeight="1">
      <c r="A16" s="201" t="s">
        <v>17</v>
      </c>
      <c r="B16" s="202">
        <f t="shared" si="0"/>
        <v>27</v>
      </c>
      <c r="C16" s="63">
        <v>136.6</v>
      </c>
      <c r="D16" s="64">
        <f t="shared" si="1"/>
        <v>30</v>
      </c>
      <c r="E16" s="63">
        <v>4</v>
      </c>
      <c r="F16" s="64">
        <f t="shared" si="2"/>
        <v>17</v>
      </c>
      <c r="G16" s="231">
        <f>35*100/1986</f>
        <v>1.7623363544813695</v>
      </c>
      <c r="H16" s="64">
        <f t="shared" si="3"/>
        <v>13</v>
      </c>
      <c r="I16" s="63">
        <v>12.1</v>
      </c>
      <c r="J16" s="64">
        <f t="shared" si="4"/>
        <v>29</v>
      </c>
      <c r="K16" s="63">
        <v>78.5</v>
      </c>
      <c r="L16" s="64">
        <f t="shared" si="5"/>
        <v>34</v>
      </c>
      <c r="M16" s="63">
        <v>11.3</v>
      </c>
      <c r="N16" s="221"/>
      <c r="O16" s="64">
        <f t="shared" si="6"/>
        <v>24</v>
      </c>
      <c r="P16" s="63">
        <v>12.2</v>
      </c>
      <c r="Q16" s="64">
        <f t="shared" si="7"/>
        <v>23</v>
      </c>
      <c r="R16" s="63">
        <v>16.2</v>
      </c>
      <c r="S16" s="64">
        <f t="shared" si="8"/>
        <v>23</v>
      </c>
      <c r="T16" s="63">
        <v>21</v>
      </c>
      <c r="U16" s="64">
        <f t="shared" si="9"/>
        <v>37</v>
      </c>
      <c r="V16" s="63">
        <v>30</v>
      </c>
      <c r="W16" s="64">
        <f t="shared" si="10"/>
        <v>12</v>
      </c>
      <c r="X16" s="63">
        <v>12.1</v>
      </c>
      <c r="Y16" s="64">
        <f t="shared" si="11"/>
        <v>21</v>
      </c>
      <c r="Z16" s="63">
        <v>26.3</v>
      </c>
      <c r="AA16" s="204" t="s">
        <v>80</v>
      </c>
    </row>
    <row r="17" spans="1:27" ht="12" customHeight="1">
      <c r="A17" s="201" t="s">
        <v>18</v>
      </c>
      <c r="B17" s="202">
        <f t="shared" si="0"/>
        <v>31</v>
      </c>
      <c r="C17" s="63">
        <v>131.4</v>
      </c>
      <c r="D17" s="64">
        <f t="shared" si="1"/>
        <v>6</v>
      </c>
      <c r="E17" s="63">
        <v>6.7</v>
      </c>
      <c r="F17" s="64">
        <f t="shared" si="2"/>
        <v>11</v>
      </c>
      <c r="G17" s="231">
        <f>39*100/2000</f>
        <v>1.95</v>
      </c>
      <c r="H17" s="64">
        <f t="shared" si="3"/>
        <v>23</v>
      </c>
      <c r="I17" s="63">
        <v>10.7</v>
      </c>
      <c r="J17" s="64">
        <f t="shared" si="4"/>
        <v>24</v>
      </c>
      <c r="K17" s="63">
        <v>83</v>
      </c>
      <c r="L17" s="64">
        <f t="shared" si="5"/>
        <v>11</v>
      </c>
      <c r="M17" s="63">
        <v>14.3</v>
      </c>
      <c r="N17" s="221"/>
      <c r="O17" s="64">
        <f t="shared" si="6"/>
        <v>23</v>
      </c>
      <c r="P17" s="63">
        <v>12.3</v>
      </c>
      <c r="Q17" s="64">
        <f t="shared" si="7"/>
        <v>29</v>
      </c>
      <c r="R17" s="63">
        <v>14.8</v>
      </c>
      <c r="S17" s="64">
        <f t="shared" si="8"/>
        <v>26</v>
      </c>
      <c r="T17" s="63">
        <v>20.4</v>
      </c>
      <c r="U17" s="64">
        <f t="shared" si="9"/>
        <v>35</v>
      </c>
      <c r="V17" s="63">
        <v>31.3</v>
      </c>
      <c r="W17" s="64">
        <f t="shared" si="10"/>
        <v>21</v>
      </c>
      <c r="X17" s="63">
        <v>10.3</v>
      </c>
      <c r="Y17" s="64">
        <f t="shared" si="11"/>
        <v>12</v>
      </c>
      <c r="Z17" s="63">
        <v>28.1</v>
      </c>
      <c r="AA17" s="204" t="s">
        <v>81</v>
      </c>
    </row>
    <row r="18" spans="1:27" s="200" customFormat="1" ht="24" customHeight="1">
      <c r="A18" s="196" t="s">
        <v>19</v>
      </c>
      <c r="B18" s="197">
        <f t="shared" si="0"/>
        <v>45</v>
      </c>
      <c r="C18" s="61">
        <v>103.9</v>
      </c>
      <c r="D18" s="62">
        <f t="shared" si="1"/>
        <v>47</v>
      </c>
      <c r="E18" s="61">
        <v>2.4</v>
      </c>
      <c r="F18" s="62">
        <f t="shared" si="2"/>
        <v>28</v>
      </c>
      <c r="G18" s="230">
        <f>110*100/6952</f>
        <v>1.5822784810126582</v>
      </c>
      <c r="H18" s="62">
        <f t="shared" si="3"/>
        <v>42</v>
      </c>
      <c r="I18" s="61">
        <v>8.5</v>
      </c>
      <c r="J18" s="62">
        <f t="shared" si="4"/>
        <v>46</v>
      </c>
      <c r="K18" s="61">
        <v>57.8</v>
      </c>
      <c r="L18" s="62">
        <f t="shared" si="5"/>
        <v>47</v>
      </c>
      <c r="M18" s="61">
        <v>7.4</v>
      </c>
      <c r="N18" s="220"/>
      <c r="O18" s="62">
        <f t="shared" si="6"/>
        <v>36</v>
      </c>
      <c r="P18" s="61">
        <v>10.6</v>
      </c>
      <c r="Q18" s="62">
        <f t="shared" si="7"/>
        <v>45</v>
      </c>
      <c r="R18" s="61">
        <v>10.6</v>
      </c>
      <c r="S18" s="62">
        <f t="shared" si="8"/>
        <v>43</v>
      </c>
      <c r="T18" s="61">
        <v>12.7</v>
      </c>
      <c r="U18" s="62">
        <f t="shared" si="9"/>
        <v>45</v>
      </c>
      <c r="V18" s="61">
        <v>22.3</v>
      </c>
      <c r="W18" s="62">
        <f t="shared" si="10"/>
        <v>40</v>
      </c>
      <c r="X18" s="61">
        <v>7.7</v>
      </c>
      <c r="Y18" s="62">
        <f t="shared" si="11"/>
        <v>39</v>
      </c>
      <c r="Z18" s="61">
        <v>22.5</v>
      </c>
      <c r="AA18" s="199" t="s">
        <v>82</v>
      </c>
    </row>
    <row r="19" spans="1:27" ht="12" customHeight="1">
      <c r="A19" s="201" t="s">
        <v>20</v>
      </c>
      <c r="B19" s="202">
        <f t="shared" si="0"/>
        <v>43</v>
      </c>
      <c r="C19" s="63">
        <v>113.8</v>
      </c>
      <c r="D19" s="64">
        <f t="shared" si="1"/>
        <v>27</v>
      </c>
      <c r="E19" s="63">
        <v>4.5</v>
      </c>
      <c r="F19" s="64">
        <f t="shared" si="2"/>
        <v>23</v>
      </c>
      <c r="G19" s="232">
        <f>102*100/5955</f>
        <v>1.7128463476070528</v>
      </c>
      <c r="H19" s="64">
        <f t="shared" si="3"/>
        <v>23</v>
      </c>
      <c r="I19" s="63">
        <v>10.7</v>
      </c>
      <c r="J19" s="64">
        <f t="shared" si="4"/>
        <v>43</v>
      </c>
      <c r="K19" s="63">
        <v>62</v>
      </c>
      <c r="L19" s="64">
        <f t="shared" si="5"/>
        <v>43</v>
      </c>
      <c r="M19" s="63">
        <v>7.6</v>
      </c>
      <c r="N19" s="221"/>
      <c r="O19" s="64">
        <f t="shared" si="6"/>
        <v>34</v>
      </c>
      <c r="P19" s="63">
        <v>11</v>
      </c>
      <c r="Q19" s="64">
        <f t="shared" si="7"/>
        <v>43</v>
      </c>
      <c r="R19" s="63">
        <v>11.5</v>
      </c>
      <c r="S19" s="64">
        <f t="shared" si="8"/>
        <v>32</v>
      </c>
      <c r="T19" s="63">
        <v>17.8</v>
      </c>
      <c r="U19" s="64">
        <f t="shared" si="9"/>
        <v>42</v>
      </c>
      <c r="V19" s="63">
        <v>23.7</v>
      </c>
      <c r="W19" s="64">
        <f t="shared" si="10"/>
        <v>36</v>
      </c>
      <c r="X19" s="63">
        <v>8.5</v>
      </c>
      <c r="Y19" s="64">
        <f t="shared" si="11"/>
        <v>40</v>
      </c>
      <c r="Z19" s="63">
        <v>22.3</v>
      </c>
      <c r="AA19" s="204" t="s">
        <v>83</v>
      </c>
    </row>
    <row r="20" spans="1:27" ht="12" customHeight="1">
      <c r="A20" s="201" t="s">
        <v>21</v>
      </c>
      <c r="B20" s="202">
        <f t="shared" si="0"/>
        <v>39</v>
      </c>
      <c r="C20" s="63">
        <v>114.7</v>
      </c>
      <c r="D20" s="64">
        <f t="shared" si="1"/>
        <v>30</v>
      </c>
      <c r="E20" s="63">
        <v>4</v>
      </c>
      <c r="F20" s="64">
        <f t="shared" si="2"/>
        <v>5</v>
      </c>
      <c r="G20" s="63">
        <v>2.1</v>
      </c>
      <c r="H20" s="64">
        <f t="shared" si="3"/>
        <v>31</v>
      </c>
      <c r="I20" s="63">
        <v>10.1</v>
      </c>
      <c r="J20" s="64">
        <f t="shared" si="4"/>
        <v>42</v>
      </c>
      <c r="K20" s="63">
        <v>66.2</v>
      </c>
      <c r="L20" s="64">
        <f t="shared" si="5"/>
        <v>41</v>
      </c>
      <c r="M20" s="63">
        <v>9.3</v>
      </c>
      <c r="N20" s="221"/>
      <c r="O20" s="64">
        <f t="shared" si="6"/>
        <v>12</v>
      </c>
      <c r="P20" s="63">
        <v>14.1</v>
      </c>
      <c r="Q20" s="64">
        <f t="shared" si="7"/>
        <v>39</v>
      </c>
      <c r="R20" s="63">
        <v>12.7</v>
      </c>
      <c r="S20" s="64">
        <f t="shared" si="8"/>
        <v>42</v>
      </c>
      <c r="T20" s="63">
        <v>13</v>
      </c>
      <c r="U20" s="64">
        <f t="shared" si="9"/>
        <v>47</v>
      </c>
      <c r="V20" s="63">
        <v>21.1</v>
      </c>
      <c r="W20" s="64">
        <f t="shared" si="10"/>
        <v>47</v>
      </c>
      <c r="X20" s="63">
        <v>4.2</v>
      </c>
      <c r="Y20" s="64">
        <f t="shared" si="11"/>
        <v>38</v>
      </c>
      <c r="Z20" s="63">
        <v>22.7</v>
      </c>
      <c r="AA20" s="204" t="s">
        <v>84</v>
      </c>
    </row>
    <row r="21" spans="1:27" ht="12" customHeight="1">
      <c r="A21" s="201" t="s">
        <v>22</v>
      </c>
      <c r="B21" s="202">
        <f t="shared" si="0"/>
        <v>46</v>
      </c>
      <c r="C21" s="63">
        <v>95.5</v>
      </c>
      <c r="D21" s="64">
        <f t="shared" si="1"/>
        <v>46</v>
      </c>
      <c r="E21" s="63">
        <v>2.7</v>
      </c>
      <c r="F21" s="64">
        <f t="shared" si="2"/>
        <v>20</v>
      </c>
      <c r="G21" s="231">
        <f>148*100/8570</f>
        <v>1.7269544924154026</v>
      </c>
      <c r="H21" s="64">
        <f t="shared" si="3"/>
        <v>47</v>
      </c>
      <c r="I21" s="63">
        <v>7.5</v>
      </c>
      <c r="J21" s="64">
        <f t="shared" si="4"/>
        <v>47</v>
      </c>
      <c r="K21" s="63">
        <v>56.4</v>
      </c>
      <c r="L21" s="64">
        <f t="shared" si="5"/>
        <v>43</v>
      </c>
      <c r="M21" s="63">
        <v>7.6</v>
      </c>
      <c r="N21" s="221"/>
      <c r="O21" s="64">
        <f t="shared" si="6"/>
        <v>13</v>
      </c>
      <c r="P21" s="63">
        <v>13.9</v>
      </c>
      <c r="Q21" s="64">
        <f t="shared" si="7"/>
        <v>47</v>
      </c>
      <c r="R21" s="63">
        <v>9.7</v>
      </c>
      <c r="S21" s="64">
        <f t="shared" si="8"/>
        <v>45</v>
      </c>
      <c r="T21" s="63">
        <v>12.5</v>
      </c>
      <c r="U21" s="64">
        <f t="shared" si="9"/>
        <v>46</v>
      </c>
      <c r="V21" s="63">
        <v>21.8</v>
      </c>
      <c r="W21" s="64">
        <f t="shared" si="10"/>
        <v>45</v>
      </c>
      <c r="X21" s="63">
        <v>5.5</v>
      </c>
      <c r="Y21" s="64">
        <f t="shared" si="11"/>
        <v>44</v>
      </c>
      <c r="Z21" s="63">
        <v>20.9</v>
      </c>
      <c r="AA21" s="204" t="s">
        <v>85</v>
      </c>
    </row>
    <row r="22" spans="1:27" ht="12" customHeight="1">
      <c r="A22" s="201" t="s">
        <v>23</v>
      </c>
      <c r="B22" s="202">
        <f t="shared" si="0"/>
        <v>21</v>
      </c>
      <c r="C22" s="63">
        <v>140.8</v>
      </c>
      <c r="D22" s="64">
        <f t="shared" si="1"/>
        <v>2</v>
      </c>
      <c r="E22" s="63">
        <v>7.3</v>
      </c>
      <c r="F22" s="64">
        <f t="shared" si="2"/>
        <v>40</v>
      </c>
      <c r="G22" s="231">
        <f>29*100/2448</f>
        <v>1.184640522875817</v>
      </c>
      <c r="H22" s="64">
        <f t="shared" si="3"/>
        <v>20</v>
      </c>
      <c r="I22" s="63">
        <v>11.1</v>
      </c>
      <c r="J22" s="64">
        <f t="shared" si="4"/>
        <v>28</v>
      </c>
      <c r="K22" s="63">
        <v>78.7</v>
      </c>
      <c r="L22" s="64">
        <f t="shared" si="5"/>
        <v>21</v>
      </c>
      <c r="M22" s="63">
        <v>12.8</v>
      </c>
      <c r="N22" s="221"/>
      <c r="O22" s="64">
        <f t="shared" si="6"/>
        <v>47</v>
      </c>
      <c r="P22" s="63">
        <v>9.1</v>
      </c>
      <c r="Q22" s="64">
        <f t="shared" si="7"/>
        <v>36</v>
      </c>
      <c r="R22" s="63">
        <v>14.1</v>
      </c>
      <c r="S22" s="64">
        <f t="shared" si="8"/>
        <v>14</v>
      </c>
      <c r="T22" s="63">
        <v>26</v>
      </c>
      <c r="U22" s="64">
        <f t="shared" si="9"/>
        <v>10</v>
      </c>
      <c r="V22" s="63">
        <v>42</v>
      </c>
      <c r="W22" s="64">
        <f t="shared" si="10"/>
        <v>27</v>
      </c>
      <c r="X22" s="63">
        <v>9.8</v>
      </c>
      <c r="Y22" s="64">
        <f t="shared" si="11"/>
        <v>4</v>
      </c>
      <c r="Z22" s="63">
        <v>34</v>
      </c>
      <c r="AA22" s="204" t="s">
        <v>86</v>
      </c>
    </row>
    <row r="23" spans="1:27" s="200" customFormat="1" ht="24" customHeight="1">
      <c r="A23" s="196" t="s">
        <v>24</v>
      </c>
      <c r="B23" s="197">
        <f t="shared" si="0"/>
        <v>37</v>
      </c>
      <c r="C23" s="61">
        <v>121.8</v>
      </c>
      <c r="D23" s="62">
        <f t="shared" si="1"/>
        <v>20</v>
      </c>
      <c r="E23" s="61">
        <v>4.7</v>
      </c>
      <c r="F23" s="62">
        <f t="shared" si="2"/>
        <v>32</v>
      </c>
      <c r="G23" s="230">
        <f>17*100/1109</f>
        <v>1.532912533814247</v>
      </c>
      <c r="H23" s="62">
        <f t="shared" si="3"/>
        <v>7</v>
      </c>
      <c r="I23" s="61">
        <v>12.7</v>
      </c>
      <c r="J23" s="62">
        <f t="shared" si="4"/>
        <v>11</v>
      </c>
      <c r="K23" s="61">
        <v>97.2</v>
      </c>
      <c r="L23" s="62">
        <f t="shared" si="5"/>
        <v>25</v>
      </c>
      <c r="M23" s="61">
        <v>12.4</v>
      </c>
      <c r="N23" s="220"/>
      <c r="O23" s="62">
        <f t="shared" si="6"/>
        <v>22</v>
      </c>
      <c r="P23" s="61">
        <v>12.4</v>
      </c>
      <c r="Q23" s="62">
        <f t="shared" si="7"/>
        <v>14</v>
      </c>
      <c r="R23" s="61">
        <v>19.6</v>
      </c>
      <c r="S23" s="62">
        <f t="shared" si="8"/>
        <v>36</v>
      </c>
      <c r="T23" s="61">
        <v>16.8</v>
      </c>
      <c r="U23" s="62">
        <f t="shared" si="9"/>
        <v>3</v>
      </c>
      <c r="V23" s="61">
        <v>45.9</v>
      </c>
      <c r="W23" s="62">
        <f t="shared" si="10"/>
        <v>23</v>
      </c>
      <c r="X23" s="61">
        <v>10.1</v>
      </c>
      <c r="Y23" s="62">
        <f t="shared" si="11"/>
        <v>5</v>
      </c>
      <c r="Z23" s="61">
        <v>32.1</v>
      </c>
      <c r="AA23" s="199" t="s">
        <v>87</v>
      </c>
    </row>
    <row r="24" spans="1:27" ht="12" customHeight="1">
      <c r="A24" s="201" t="s">
        <v>25</v>
      </c>
      <c r="B24" s="202">
        <f t="shared" si="0"/>
        <v>29</v>
      </c>
      <c r="C24" s="63">
        <v>132.6</v>
      </c>
      <c r="D24" s="64">
        <f t="shared" si="1"/>
        <v>9</v>
      </c>
      <c r="E24" s="63">
        <v>5.6</v>
      </c>
      <c r="F24" s="64">
        <f t="shared" si="2"/>
        <v>31</v>
      </c>
      <c r="G24" s="231">
        <f>18*100/1173</f>
        <v>1.5345268542199488</v>
      </c>
      <c r="H24" s="64">
        <f t="shared" si="3"/>
        <v>17</v>
      </c>
      <c r="I24" s="63">
        <v>11.3</v>
      </c>
      <c r="J24" s="64">
        <f t="shared" si="4"/>
        <v>27</v>
      </c>
      <c r="K24" s="63">
        <v>79.6</v>
      </c>
      <c r="L24" s="64">
        <f t="shared" si="5"/>
        <v>28</v>
      </c>
      <c r="M24" s="63">
        <v>12.2</v>
      </c>
      <c r="N24" s="221"/>
      <c r="O24" s="64">
        <f t="shared" si="6"/>
        <v>29</v>
      </c>
      <c r="P24" s="63">
        <v>11.4</v>
      </c>
      <c r="Q24" s="64">
        <f t="shared" si="7"/>
        <v>40</v>
      </c>
      <c r="R24" s="63">
        <v>12.5</v>
      </c>
      <c r="S24" s="64">
        <f t="shared" si="8"/>
        <v>25</v>
      </c>
      <c r="T24" s="63">
        <v>20.5</v>
      </c>
      <c r="U24" s="64">
        <f t="shared" si="9"/>
        <v>14</v>
      </c>
      <c r="V24" s="63">
        <v>39.2</v>
      </c>
      <c r="W24" s="64">
        <f t="shared" si="10"/>
        <v>20</v>
      </c>
      <c r="X24" s="231">
        <f>125*100/1173</f>
        <v>10.656436487638533</v>
      </c>
      <c r="Y24" s="64">
        <f t="shared" si="11"/>
        <v>25</v>
      </c>
      <c r="Z24" s="63">
        <v>25.8</v>
      </c>
      <c r="AA24" s="204" t="s">
        <v>88</v>
      </c>
    </row>
    <row r="25" spans="1:27" ht="12" customHeight="1">
      <c r="A25" s="201" t="s">
        <v>26</v>
      </c>
      <c r="B25" s="202">
        <f t="shared" si="0"/>
        <v>19</v>
      </c>
      <c r="C25" s="63">
        <v>143.5</v>
      </c>
      <c r="D25" s="64">
        <f t="shared" si="1"/>
        <v>37</v>
      </c>
      <c r="E25" s="63">
        <v>3.7</v>
      </c>
      <c r="F25" s="64">
        <f t="shared" si="2"/>
        <v>36</v>
      </c>
      <c r="G25" s="231">
        <f>12*100/817</f>
        <v>1.4687882496940023</v>
      </c>
      <c r="H25" s="64">
        <f t="shared" si="3"/>
        <v>27</v>
      </c>
      <c r="I25" s="63">
        <v>10.6</v>
      </c>
      <c r="J25" s="64">
        <f t="shared" si="4"/>
        <v>19</v>
      </c>
      <c r="K25" s="63">
        <v>88.9</v>
      </c>
      <c r="L25" s="64">
        <f t="shared" si="5"/>
        <v>20</v>
      </c>
      <c r="M25" s="63">
        <v>12.9</v>
      </c>
      <c r="N25" s="221"/>
      <c r="O25" s="64">
        <f t="shared" si="6"/>
        <v>26</v>
      </c>
      <c r="P25" s="63">
        <v>11.8</v>
      </c>
      <c r="Q25" s="64">
        <f t="shared" si="7"/>
        <v>33</v>
      </c>
      <c r="R25" s="63">
        <v>14.4</v>
      </c>
      <c r="S25" s="64">
        <f t="shared" si="8"/>
        <v>20</v>
      </c>
      <c r="T25" s="63">
        <v>22.8</v>
      </c>
      <c r="U25" s="64">
        <f t="shared" si="9"/>
        <v>6</v>
      </c>
      <c r="V25" s="63">
        <v>44.3</v>
      </c>
      <c r="W25" s="64">
        <f t="shared" si="10"/>
        <v>9</v>
      </c>
      <c r="X25" s="63">
        <v>12.9</v>
      </c>
      <c r="Y25" s="64">
        <f t="shared" si="11"/>
        <v>9</v>
      </c>
      <c r="Z25" s="63">
        <v>30.1</v>
      </c>
      <c r="AA25" s="204" t="s">
        <v>78</v>
      </c>
    </row>
    <row r="26" spans="1:27" ht="12" customHeight="1">
      <c r="A26" s="201" t="s">
        <v>27</v>
      </c>
      <c r="B26" s="202">
        <f t="shared" si="0"/>
        <v>24</v>
      </c>
      <c r="C26" s="231">
        <f>1216*100000/873000</f>
        <v>139.2898052691867</v>
      </c>
      <c r="D26" s="64">
        <f t="shared" si="1"/>
        <v>20</v>
      </c>
      <c r="E26" s="63">
        <v>4.7</v>
      </c>
      <c r="F26" s="64">
        <f t="shared" si="2"/>
        <v>47</v>
      </c>
      <c r="G26" s="63">
        <v>0.5</v>
      </c>
      <c r="H26" s="64">
        <f t="shared" si="3"/>
        <v>15</v>
      </c>
      <c r="I26" s="63">
        <v>11.9</v>
      </c>
      <c r="J26" s="64">
        <f t="shared" si="4"/>
        <v>22</v>
      </c>
      <c r="K26" s="63">
        <v>85.1</v>
      </c>
      <c r="L26" s="64">
        <f t="shared" si="5"/>
        <v>17</v>
      </c>
      <c r="M26" s="63">
        <v>13.4</v>
      </c>
      <c r="N26" s="221"/>
      <c r="O26" s="64">
        <f t="shared" si="6"/>
        <v>2</v>
      </c>
      <c r="P26" s="63">
        <v>16.2</v>
      </c>
      <c r="Q26" s="64">
        <f t="shared" si="7"/>
        <v>32</v>
      </c>
      <c r="R26" s="63">
        <v>14.5</v>
      </c>
      <c r="S26" s="64">
        <f t="shared" si="8"/>
        <v>13</v>
      </c>
      <c r="T26" s="63">
        <v>26.5</v>
      </c>
      <c r="U26" s="64">
        <f t="shared" si="9"/>
        <v>21</v>
      </c>
      <c r="V26" s="63">
        <v>36.4</v>
      </c>
      <c r="W26" s="64">
        <f t="shared" si="10"/>
        <v>18</v>
      </c>
      <c r="X26" s="63">
        <v>11</v>
      </c>
      <c r="Y26" s="64">
        <f t="shared" si="11"/>
        <v>27</v>
      </c>
      <c r="Z26" s="63">
        <v>25.5</v>
      </c>
      <c r="AA26" s="204" t="s">
        <v>77</v>
      </c>
    </row>
    <row r="27" spans="1:27" ht="12" customHeight="1">
      <c r="A27" s="201" t="s">
        <v>28</v>
      </c>
      <c r="B27" s="202">
        <f t="shared" si="0"/>
        <v>20</v>
      </c>
      <c r="C27" s="63">
        <v>141.3</v>
      </c>
      <c r="D27" s="64">
        <f t="shared" si="1"/>
        <v>17</v>
      </c>
      <c r="E27" s="63">
        <v>5</v>
      </c>
      <c r="F27" s="64">
        <f t="shared" si="2"/>
        <v>18</v>
      </c>
      <c r="G27" s="231">
        <f>38*100/2179</f>
        <v>1.7439192290041303</v>
      </c>
      <c r="H27" s="64">
        <f t="shared" si="3"/>
        <v>23</v>
      </c>
      <c r="I27" s="63">
        <v>10.7</v>
      </c>
      <c r="J27" s="64">
        <f t="shared" si="4"/>
        <v>34</v>
      </c>
      <c r="K27" s="63">
        <v>74.6</v>
      </c>
      <c r="L27" s="64">
        <f t="shared" si="5"/>
        <v>13</v>
      </c>
      <c r="M27" s="63">
        <v>14.1</v>
      </c>
      <c r="N27" s="221"/>
      <c r="O27" s="64">
        <f t="shared" si="6"/>
        <v>42</v>
      </c>
      <c r="P27" s="63">
        <v>9.8</v>
      </c>
      <c r="Q27" s="64">
        <f t="shared" si="7"/>
        <v>37</v>
      </c>
      <c r="R27" s="63">
        <v>14</v>
      </c>
      <c r="S27" s="64">
        <f t="shared" si="8"/>
        <v>5</v>
      </c>
      <c r="T27" s="63">
        <v>33.4</v>
      </c>
      <c r="U27" s="64">
        <f t="shared" si="9"/>
        <v>15</v>
      </c>
      <c r="V27" s="63">
        <v>39.1</v>
      </c>
      <c r="W27" s="64">
        <f t="shared" si="10"/>
        <v>34</v>
      </c>
      <c r="X27" s="63">
        <v>8.9</v>
      </c>
      <c r="Y27" s="64">
        <f t="shared" si="11"/>
        <v>20</v>
      </c>
      <c r="Z27" s="63">
        <v>26.4</v>
      </c>
      <c r="AA27" s="204" t="s">
        <v>89</v>
      </c>
    </row>
    <row r="28" spans="1:27" s="200" customFormat="1" ht="24" customHeight="1">
      <c r="A28" s="196" t="s">
        <v>29</v>
      </c>
      <c r="B28" s="197">
        <f t="shared" si="0"/>
        <v>25</v>
      </c>
      <c r="C28" s="61">
        <v>138.6</v>
      </c>
      <c r="D28" s="62">
        <f t="shared" si="1"/>
        <v>40</v>
      </c>
      <c r="E28" s="61">
        <v>3.5</v>
      </c>
      <c r="F28" s="62">
        <f t="shared" si="2"/>
        <v>2</v>
      </c>
      <c r="G28" s="61">
        <v>2.4</v>
      </c>
      <c r="H28" s="62">
        <f t="shared" si="3"/>
        <v>33</v>
      </c>
      <c r="I28" s="61">
        <v>9.7</v>
      </c>
      <c r="J28" s="62">
        <f t="shared" si="4"/>
        <v>30</v>
      </c>
      <c r="K28" s="61">
        <v>77.5</v>
      </c>
      <c r="L28" s="62">
        <f t="shared" si="5"/>
        <v>36</v>
      </c>
      <c r="M28" s="61">
        <v>11</v>
      </c>
      <c r="N28" s="220"/>
      <c r="O28" s="62">
        <f t="shared" si="6"/>
        <v>43</v>
      </c>
      <c r="P28" s="61">
        <v>9.7</v>
      </c>
      <c r="Q28" s="62">
        <f t="shared" si="7"/>
        <v>25</v>
      </c>
      <c r="R28" s="61">
        <v>15.7</v>
      </c>
      <c r="S28" s="62">
        <f t="shared" si="8"/>
        <v>9</v>
      </c>
      <c r="T28" s="61">
        <v>27.3</v>
      </c>
      <c r="U28" s="62">
        <f t="shared" si="9"/>
        <v>23</v>
      </c>
      <c r="V28" s="61">
        <v>35.7</v>
      </c>
      <c r="W28" s="62">
        <f t="shared" si="10"/>
        <v>15</v>
      </c>
      <c r="X28" s="230">
        <f>235*100/2078</f>
        <v>11.308950914340713</v>
      </c>
      <c r="Y28" s="62">
        <f t="shared" si="11"/>
        <v>21</v>
      </c>
      <c r="Z28" s="61">
        <v>26.3</v>
      </c>
      <c r="AA28" s="199" t="s">
        <v>90</v>
      </c>
    </row>
    <row r="29" spans="1:27" ht="12" customHeight="1">
      <c r="A29" s="201" t="s">
        <v>30</v>
      </c>
      <c r="B29" s="202">
        <f t="shared" si="0"/>
        <v>35</v>
      </c>
      <c r="C29" s="63">
        <v>127</v>
      </c>
      <c r="D29" s="64">
        <f t="shared" si="1"/>
        <v>24</v>
      </c>
      <c r="E29" s="63">
        <v>4.6</v>
      </c>
      <c r="F29" s="64">
        <f t="shared" si="2"/>
        <v>24</v>
      </c>
      <c r="G29" s="231">
        <f>61*100/3726</f>
        <v>1.6371443907675791</v>
      </c>
      <c r="H29" s="64">
        <f t="shared" si="3"/>
        <v>9</v>
      </c>
      <c r="I29" s="63">
        <v>12.5</v>
      </c>
      <c r="J29" s="64">
        <f t="shared" si="4"/>
        <v>40</v>
      </c>
      <c r="K29" s="63">
        <v>68.9</v>
      </c>
      <c r="L29" s="64">
        <f t="shared" si="5"/>
        <v>35</v>
      </c>
      <c r="M29" s="63">
        <v>11.1</v>
      </c>
      <c r="N29" s="221"/>
      <c r="O29" s="64">
        <f t="shared" si="6"/>
        <v>38</v>
      </c>
      <c r="P29" s="63">
        <v>10.5</v>
      </c>
      <c r="Q29" s="64">
        <f t="shared" si="7"/>
        <v>38</v>
      </c>
      <c r="R29" s="63">
        <v>13.5</v>
      </c>
      <c r="S29" s="64">
        <f t="shared" si="8"/>
        <v>8</v>
      </c>
      <c r="T29" s="63">
        <v>27.4</v>
      </c>
      <c r="U29" s="64">
        <f t="shared" si="9"/>
        <v>30</v>
      </c>
      <c r="V29" s="231">
        <f>1258*100/3726</f>
        <v>33.762748255501876</v>
      </c>
      <c r="W29" s="64">
        <f t="shared" si="10"/>
        <v>24</v>
      </c>
      <c r="X29" s="231">
        <f>376*100/3726</f>
        <v>10.091250670960816</v>
      </c>
      <c r="Y29" s="64">
        <f t="shared" si="11"/>
        <v>43</v>
      </c>
      <c r="Z29" s="63">
        <v>21.1</v>
      </c>
      <c r="AA29" s="204" t="s">
        <v>91</v>
      </c>
    </row>
    <row r="30" spans="1:27" ht="12" customHeight="1">
      <c r="A30" s="201" t="s">
        <v>31</v>
      </c>
      <c r="B30" s="202">
        <f t="shared" si="0"/>
        <v>41</v>
      </c>
      <c r="C30" s="231">
        <f>8056*100000/7028000</f>
        <v>114.62720546385886</v>
      </c>
      <c r="D30" s="64">
        <f t="shared" si="1"/>
        <v>45</v>
      </c>
      <c r="E30" s="63">
        <v>2.8</v>
      </c>
      <c r="F30" s="64">
        <f t="shared" si="2"/>
        <v>12</v>
      </c>
      <c r="G30" s="231">
        <f>136*100/7028</f>
        <v>1.9351166761525327</v>
      </c>
      <c r="H30" s="64">
        <f t="shared" si="3"/>
        <v>44</v>
      </c>
      <c r="I30" s="63">
        <v>7.8</v>
      </c>
      <c r="J30" s="64">
        <f t="shared" si="4"/>
        <v>45</v>
      </c>
      <c r="K30" s="63">
        <v>59.6</v>
      </c>
      <c r="L30" s="64">
        <f t="shared" si="5"/>
        <v>42</v>
      </c>
      <c r="M30" s="63">
        <v>8</v>
      </c>
      <c r="N30" s="221"/>
      <c r="O30" s="64">
        <f t="shared" si="6"/>
        <v>45</v>
      </c>
      <c r="P30" s="63">
        <v>9.4</v>
      </c>
      <c r="Q30" s="64">
        <f t="shared" si="7"/>
        <v>41</v>
      </c>
      <c r="R30" s="63">
        <v>11.9</v>
      </c>
      <c r="S30" s="64">
        <f t="shared" si="8"/>
        <v>34</v>
      </c>
      <c r="T30" s="63">
        <v>17</v>
      </c>
      <c r="U30" s="64">
        <f t="shared" si="9"/>
        <v>38</v>
      </c>
      <c r="V30" s="63">
        <v>29.9</v>
      </c>
      <c r="W30" s="64">
        <f t="shared" si="10"/>
        <v>38</v>
      </c>
      <c r="X30" s="63">
        <v>8.3</v>
      </c>
      <c r="Y30" s="64">
        <f t="shared" si="11"/>
        <v>40</v>
      </c>
      <c r="Z30" s="63">
        <v>22.3</v>
      </c>
      <c r="AA30" s="204" t="s">
        <v>92</v>
      </c>
    </row>
    <row r="31" spans="1:27" ht="12" customHeight="1">
      <c r="A31" s="201" t="s">
        <v>32</v>
      </c>
      <c r="B31" s="202">
        <f t="shared" si="0"/>
        <v>22</v>
      </c>
      <c r="C31" s="63">
        <v>140</v>
      </c>
      <c r="D31" s="64">
        <f t="shared" si="1"/>
        <v>27</v>
      </c>
      <c r="E31" s="63">
        <v>4.5</v>
      </c>
      <c r="F31" s="64">
        <f t="shared" si="2"/>
        <v>9</v>
      </c>
      <c r="G31" s="231">
        <f>36*100/1833</f>
        <v>1.9639934533551555</v>
      </c>
      <c r="H31" s="64">
        <f t="shared" si="3"/>
        <v>5</v>
      </c>
      <c r="I31" s="63">
        <v>12.9</v>
      </c>
      <c r="J31" s="64">
        <f t="shared" si="4"/>
        <v>35</v>
      </c>
      <c r="K31" s="63">
        <v>74</v>
      </c>
      <c r="L31" s="64">
        <f t="shared" si="5"/>
        <v>23</v>
      </c>
      <c r="M31" s="63">
        <v>12.7</v>
      </c>
      <c r="N31" s="221"/>
      <c r="O31" s="64">
        <f t="shared" si="6"/>
        <v>41</v>
      </c>
      <c r="P31" s="63">
        <v>10.1</v>
      </c>
      <c r="Q31" s="64">
        <f t="shared" si="7"/>
        <v>24</v>
      </c>
      <c r="R31" s="63">
        <v>16</v>
      </c>
      <c r="S31" s="64">
        <f t="shared" si="8"/>
        <v>3</v>
      </c>
      <c r="T31" s="63">
        <v>35.7</v>
      </c>
      <c r="U31" s="64">
        <f t="shared" si="9"/>
        <v>13</v>
      </c>
      <c r="V31" s="63">
        <v>40</v>
      </c>
      <c r="W31" s="64">
        <f t="shared" si="10"/>
        <v>6</v>
      </c>
      <c r="X31" s="231">
        <f>247*100/1833</f>
        <v>13.47517730496454</v>
      </c>
      <c r="Y31" s="64">
        <f t="shared" si="11"/>
        <v>31</v>
      </c>
      <c r="Z31" s="63">
        <v>24.9</v>
      </c>
      <c r="AA31" s="204" t="s">
        <v>93</v>
      </c>
    </row>
    <row r="32" spans="1:27" ht="12" customHeight="1">
      <c r="A32" s="201" t="s">
        <v>33</v>
      </c>
      <c r="B32" s="202">
        <f t="shared" si="0"/>
        <v>40</v>
      </c>
      <c r="C32" s="231">
        <f>1542*100000/1345000</f>
        <v>114.64684014869889</v>
      </c>
      <c r="D32" s="64">
        <f t="shared" si="1"/>
        <v>44</v>
      </c>
      <c r="E32" s="63">
        <v>3</v>
      </c>
      <c r="F32" s="64">
        <f t="shared" si="2"/>
        <v>42</v>
      </c>
      <c r="G32" s="231">
        <f>14*100/1345</f>
        <v>1.0408921933085502</v>
      </c>
      <c r="H32" s="64">
        <f t="shared" si="3"/>
        <v>46</v>
      </c>
      <c r="I32" s="63">
        <v>7.6</v>
      </c>
      <c r="J32" s="64">
        <f t="shared" si="4"/>
        <v>39</v>
      </c>
      <c r="K32" s="63">
        <v>70.9</v>
      </c>
      <c r="L32" s="64">
        <f t="shared" si="5"/>
        <v>24</v>
      </c>
      <c r="M32" s="63">
        <v>12.5</v>
      </c>
      <c r="N32" s="221"/>
      <c r="O32" s="64">
        <f t="shared" si="6"/>
        <v>46</v>
      </c>
      <c r="P32" s="63">
        <v>9.3</v>
      </c>
      <c r="Q32" s="64">
        <f t="shared" si="7"/>
        <v>42</v>
      </c>
      <c r="R32" s="63">
        <v>11.7</v>
      </c>
      <c r="S32" s="64">
        <f t="shared" si="8"/>
        <v>40</v>
      </c>
      <c r="T32" s="63">
        <v>13.9</v>
      </c>
      <c r="U32" s="64">
        <f t="shared" si="9"/>
        <v>34</v>
      </c>
      <c r="V32" s="231">
        <f>422*100/1345</f>
        <v>31.37546468401487</v>
      </c>
      <c r="W32" s="64">
        <f t="shared" si="10"/>
        <v>35</v>
      </c>
      <c r="X32" s="63">
        <v>8.6</v>
      </c>
      <c r="Y32" s="64">
        <f t="shared" si="11"/>
        <v>33</v>
      </c>
      <c r="Z32" s="63">
        <v>24.5</v>
      </c>
      <c r="AA32" s="204" t="s">
        <v>94</v>
      </c>
    </row>
    <row r="33" spans="1:27" s="200" customFormat="1" ht="24" customHeight="1">
      <c r="A33" s="196" t="s">
        <v>34</v>
      </c>
      <c r="B33" s="197">
        <f t="shared" si="0"/>
        <v>32</v>
      </c>
      <c r="C33" s="61">
        <v>130.2</v>
      </c>
      <c r="D33" s="62">
        <f t="shared" si="1"/>
        <v>43</v>
      </c>
      <c r="E33" s="61">
        <v>3.2</v>
      </c>
      <c r="F33" s="62">
        <f t="shared" si="2"/>
        <v>10</v>
      </c>
      <c r="G33" s="230">
        <f>51*100/2597</f>
        <v>1.9638043896804005</v>
      </c>
      <c r="H33" s="62">
        <f t="shared" si="3"/>
        <v>39</v>
      </c>
      <c r="I33" s="61">
        <v>9.2</v>
      </c>
      <c r="J33" s="62">
        <f t="shared" si="4"/>
        <v>32</v>
      </c>
      <c r="K33" s="61">
        <v>76.1</v>
      </c>
      <c r="L33" s="62">
        <f t="shared" si="5"/>
        <v>32</v>
      </c>
      <c r="M33" s="61">
        <v>11.6</v>
      </c>
      <c r="N33" s="220"/>
      <c r="O33" s="62">
        <f t="shared" si="6"/>
        <v>30</v>
      </c>
      <c r="P33" s="61">
        <v>11.3</v>
      </c>
      <c r="Q33" s="62">
        <f t="shared" si="7"/>
        <v>22</v>
      </c>
      <c r="R33" s="61">
        <v>16.6</v>
      </c>
      <c r="S33" s="62">
        <f t="shared" si="8"/>
        <v>39</v>
      </c>
      <c r="T33" s="61">
        <v>15.1</v>
      </c>
      <c r="U33" s="62">
        <f t="shared" si="9"/>
        <v>44</v>
      </c>
      <c r="V33" s="61">
        <v>23.1</v>
      </c>
      <c r="W33" s="62">
        <f t="shared" si="10"/>
        <v>44</v>
      </c>
      <c r="X33" s="61">
        <v>6.8</v>
      </c>
      <c r="Y33" s="62">
        <f t="shared" si="11"/>
        <v>36</v>
      </c>
      <c r="Z33" s="61">
        <v>23.2</v>
      </c>
      <c r="AA33" s="199" t="s">
        <v>95</v>
      </c>
    </row>
    <row r="34" spans="1:27" ht="12" customHeight="1">
      <c r="A34" s="201" t="s">
        <v>35</v>
      </c>
      <c r="B34" s="202">
        <f t="shared" si="0"/>
        <v>42</v>
      </c>
      <c r="C34" s="63">
        <v>114.6</v>
      </c>
      <c r="D34" s="64">
        <f t="shared" si="1"/>
        <v>7</v>
      </c>
      <c r="E34" s="63">
        <v>6.6</v>
      </c>
      <c r="F34" s="64">
        <f t="shared" si="2"/>
        <v>1</v>
      </c>
      <c r="G34" s="63">
        <v>3.1</v>
      </c>
      <c r="H34" s="64">
        <f t="shared" si="3"/>
        <v>37</v>
      </c>
      <c r="I34" s="63">
        <v>9.5</v>
      </c>
      <c r="J34" s="64">
        <f t="shared" si="4"/>
        <v>38</v>
      </c>
      <c r="K34" s="63">
        <v>71.8</v>
      </c>
      <c r="L34" s="64">
        <f t="shared" si="5"/>
        <v>39</v>
      </c>
      <c r="M34" s="63">
        <v>9.7</v>
      </c>
      <c r="N34" s="221"/>
      <c r="O34" s="64">
        <f t="shared" si="6"/>
        <v>4</v>
      </c>
      <c r="P34" s="63">
        <v>15.9</v>
      </c>
      <c r="Q34" s="64">
        <f t="shared" si="7"/>
        <v>34</v>
      </c>
      <c r="R34" s="63">
        <v>14.3</v>
      </c>
      <c r="S34" s="64">
        <f t="shared" si="8"/>
        <v>47</v>
      </c>
      <c r="T34" s="63">
        <v>9.5</v>
      </c>
      <c r="U34" s="64">
        <f t="shared" si="9"/>
        <v>43</v>
      </c>
      <c r="V34" s="63">
        <v>23.3</v>
      </c>
      <c r="W34" s="64">
        <f t="shared" si="10"/>
        <v>46</v>
      </c>
      <c r="X34" s="63">
        <v>5.4</v>
      </c>
      <c r="Y34" s="64">
        <f t="shared" si="11"/>
        <v>29</v>
      </c>
      <c r="Z34" s="63">
        <v>25.3</v>
      </c>
      <c r="AA34" s="204" t="s">
        <v>96</v>
      </c>
    </row>
    <row r="35" spans="1:27" ht="12" customHeight="1">
      <c r="A35" s="201" t="s">
        <v>36</v>
      </c>
      <c r="B35" s="202">
        <f t="shared" si="0"/>
        <v>36</v>
      </c>
      <c r="C35" s="63">
        <v>124.8</v>
      </c>
      <c r="D35" s="64">
        <f t="shared" si="1"/>
        <v>33</v>
      </c>
      <c r="E35" s="63">
        <v>3.9</v>
      </c>
      <c r="F35" s="64">
        <f t="shared" si="2"/>
        <v>4</v>
      </c>
      <c r="G35" s="63">
        <v>2.2</v>
      </c>
      <c r="H35" s="64">
        <f t="shared" si="3"/>
        <v>30</v>
      </c>
      <c r="I35" s="63">
        <v>10.3</v>
      </c>
      <c r="J35" s="64">
        <f t="shared" si="4"/>
        <v>37</v>
      </c>
      <c r="K35" s="63">
        <v>72.5</v>
      </c>
      <c r="L35" s="64">
        <f t="shared" si="5"/>
        <v>38</v>
      </c>
      <c r="M35" s="63">
        <v>10.1</v>
      </c>
      <c r="N35" s="221"/>
      <c r="O35" s="64">
        <f t="shared" si="6"/>
        <v>9</v>
      </c>
      <c r="P35" s="63">
        <v>14.5</v>
      </c>
      <c r="Q35" s="64">
        <f t="shared" si="7"/>
        <v>25</v>
      </c>
      <c r="R35" s="63">
        <v>15.7</v>
      </c>
      <c r="S35" s="64">
        <f t="shared" si="8"/>
        <v>31</v>
      </c>
      <c r="T35" s="63">
        <v>19.2</v>
      </c>
      <c r="U35" s="64">
        <f t="shared" si="9"/>
        <v>33</v>
      </c>
      <c r="V35" s="63">
        <v>31.4</v>
      </c>
      <c r="W35" s="64">
        <f t="shared" si="10"/>
        <v>41</v>
      </c>
      <c r="X35" s="231">
        <f>423*100/5504</f>
        <v>7.68531976744186</v>
      </c>
      <c r="Y35" s="64">
        <f t="shared" si="11"/>
        <v>35</v>
      </c>
      <c r="Z35" s="63">
        <v>23.3</v>
      </c>
      <c r="AA35" s="204" t="s">
        <v>97</v>
      </c>
    </row>
    <row r="36" spans="1:27" ht="12" customHeight="1">
      <c r="A36" s="201" t="s">
        <v>37</v>
      </c>
      <c r="B36" s="202">
        <f t="shared" si="0"/>
        <v>33</v>
      </c>
      <c r="C36" s="63">
        <v>129</v>
      </c>
      <c r="D36" s="64">
        <f t="shared" si="1"/>
        <v>33</v>
      </c>
      <c r="E36" s="63">
        <v>3.9</v>
      </c>
      <c r="F36" s="64">
        <f t="shared" si="2"/>
        <v>35</v>
      </c>
      <c r="G36" s="231">
        <f>21*100/1428</f>
        <v>1.4705882352941178</v>
      </c>
      <c r="H36" s="64">
        <f t="shared" si="3"/>
        <v>44</v>
      </c>
      <c r="I36" s="63">
        <v>7.8</v>
      </c>
      <c r="J36" s="64">
        <f t="shared" si="4"/>
        <v>36</v>
      </c>
      <c r="K36" s="63">
        <v>72.8</v>
      </c>
      <c r="L36" s="64">
        <f t="shared" si="5"/>
        <v>29</v>
      </c>
      <c r="M36" s="63">
        <v>12</v>
      </c>
      <c r="N36" s="221"/>
      <c r="O36" s="64">
        <f t="shared" si="6"/>
        <v>36</v>
      </c>
      <c r="P36" s="63">
        <v>10.6</v>
      </c>
      <c r="Q36" s="64">
        <f t="shared" si="7"/>
        <v>28</v>
      </c>
      <c r="R36" s="63">
        <v>14.9</v>
      </c>
      <c r="S36" s="64">
        <f t="shared" si="8"/>
        <v>38</v>
      </c>
      <c r="T36" s="63">
        <v>16.3</v>
      </c>
      <c r="U36" s="64">
        <f t="shared" si="9"/>
        <v>40</v>
      </c>
      <c r="V36" s="63">
        <v>28.1</v>
      </c>
      <c r="W36" s="64">
        <f t="shared" si="10"/>
        <v>43</v>
      </c>
      <c r="X36" s="63">
        <v>6.9</v>
      </c>
      <c r="Y36" s="64">
        <f t="shared" si="11"/>
        <v>45</v>
      </c>
      <c r="Z36" s="63">
        <v>20.7</v>
      </c>
      <c r="AA36" s="204" t="s">
        <v>98</v>
      </c>
    </row>
    <row r="37" spans="1:27" ht="12" customHeight="1">
      <c r="A37" s="201" t="s">
        <v>38</v>
      </c>
      <c r="B37" s="202">
        <f t="shared" si="0"/>
        <v>3</v>
      </c>
      <c r="C37" s="63">
        <v>169.2</v>
      </c>
      <c r="D37" s="64">
        <f t="shared" si="1"/>
        <v>36</v>
      </c>
      <c r="E37" s="63">
        <v>3.8</v>
      </c>
      <c r="F37" s="64">
        <f t="shared" si="2"/>
        <v>33</v>
      </c>
      <c r="G37" s="63">
        <v>1.5</v>
      </c>
      <c r="H37" s="64">
        <f t="shared" si="3"/>
        <v>2</v>
      </c>
      <c r="I37" s="63">
        <v>13.6</v>
      </c>
      <c r="J37" s="64">
        <f t="shared" si="4"/>
        <v>20</v>
      </c>
      <c r="K37" s="63">
        <v>88.8</v>
      </c>
      <c r="L37" s="64">
        <f t="shared" si="5"/>
        <v>15</v>
      </c>
      <c r="M37" s="63">
        <v>13.7</v>
      </c>
      <c r="N37" s="221"/>
      <c r="O37" s="64">
        <f t="shared" si="6"/>
        <v>19</v>
      </c>
      <c r="P37" s="63">
        <v>13.2</v>
      </c>
      <c r="Q37" s="64">
        <f t="shared" si="7"/>
        <v>6</v>
      </c>
      <c r="R37" s="63">
        <v>22</v>
      </c>
      <c r="S37" s="64">
        <f t="shared" si="8"/>
        <v>1</v>
      </c>
      <c r="T37" s="63">
        <v>42.7</v>
      </c>
      <c r="U37" s="64">
        <f t="shared" si="9"/>
        <v>28</v>
      </c>
      <c r="V37" s="63">
        <v>34.3</v>
      </c>
      <c r="W37" s="64">
        <f t="shared" si="10"/>
        <v>30</v>
      </c>
      <c r="X37" s="63">
        <v>9.4</v>
      </c>
      <c r="Y37" s="64">
        <f t="shared" si="11"/>
        <v>25</v>
      </c>
      <c r="Z37" s="63">
        <v>25.8</v>
      </c>
      <c r="AA37" s="204" t="s">
        <v>99</v>
      </c>
    </row>
    <row r="38" spans="1:27" s="200" customFormat="1" ht="24" customHeight="1">
      <c r="A38" s="196" t="s">
        <v>39</v>
      </c>
      <c r="B38" s="197">
        <f t="shared" si="0"/>
        <v>9</v>
      </c>
      <c r="C38" s="61">
        <v>158.3</v>
      </c>
      <c r="D38" s="62">
        <f t="shared" si="1"/>
        <v>11</v>
      </c>
      <c r="E38" s="61">
        <v>5.4</v>
      </c>
      <c r="F38" s="62">
        <f t="shared" si="2"/>
        <v>34</v>
      </c>
      <c r="G38" s="230">
        <f>9*100/607</f>
        <v>1.4827018121911038</v>
      </c>
      <c r="H38" s="62">
        <f t="shared" si="3"/>
        <v>9</v>
      </c>
      <c r="I38" s="61">
        <v>12.5</v>
      </c>
      <c r="J38" s="62">
        <f t="shared" si="4"/>
        <v>18</v>
      </c>
      <c r="K38" s="61">
        <v>89.1</v>
      </c>
      <c r="L38" s="62">
        <f t="shared" si="5"/>
        <v>18</v>
      </c>
      <c r="M38" s="61">
        <v>13.3</v>
      </c>
      <c r="N38" s="220"/>
      <c r="O38" s="62">
        <f t="shared" si="6"/>
        <v>31</v>
      </c>
      <c r="P38" s="61">
        <v>11.2</v>
      </c>
      <c r="Q38" s="62">
        <f t="shared" si="7"/>
        <v>21</v>
      </c>
      <c r="R38" s="61">
        <v>17</v>
      </c>
      <c r="S38" s="62">
        <f t="shared" si="8"/>
        <v>18</v>
      </c>
      <c r="T38" s="61">
        <v>23.4</v>
      </c>
      <c r="U38" s="62">
        <f t="shared" si="9"/>
        <v>5</v>
      </c>
      <c r="V38" s="61">
        <v>44.6</v>
      </c>
      <c r="W38" s="62">
        <f t="shared" si="10"/>
        <v>2</v>
      </c>
      <c r="X38" s="230">
        <f>84*100/607</f>
        <v>13.838550247116968</v>
      </c>
      <c r="Y38" s="62">
        <f t="shared" si="11"/>
        <v>34</v>
      </c>
      <c r="Z38" s="61">
        <v>23.9</v>
      </c>
      <c r="AA38" s="199" t="s">
        <v>100</v>
      </c>
    </row>
    <row r="39" spans="1:27" ht="12" customHeight="1">
      <c r="A39" s="201" t="s">
        <v>40</v>
      </c>
      <c r="B39" s="202">
        <f t="shared" si="0"/>
        <v>5</v>
      </c>
      <c r="C39" s="63">
        <v>162.2</v>
      </c>
      <c r="D39" s="64">
        <f t="shared" si="1"/>
        <v>1</v>
      </c>
      <c r="E39" s="63">
        <v>7.5</v>
      </c>
      <c r="F39" s="64">
        <f t="shared" si="2"/>
        <v>8</v>
      </c>
      <c r="G39" s="231">
        <f>15*100/749</f>
        <v>2.0026702269692924</v>
      </c>
      <c r="H39" s="64">
        <f t="shared" si="3"/>
        <v>36</v>
      </c>
      <c r="I39" s="63">
        <v>9.6</v>
      </c>
      <c r="J39" s="64">
        <f t="shared" si="4"/>
        <v>6</v>
      </c>
      <c r="K39" s="63">
        <v>102.8</v>
      </c>
      <c r="L39" s="64">
        <f t="shared" si="5"/>
        <v>8</v>
      </c>
      <c r="M39" s="63">
        <v>14.7</v>
      </c>
      <c r="N39" s="221"/>
      <c r="O39" s="64">
        <f t="shared" si="6"/>
        <v>7</v>
      </c>
      <c r="P39" s="63">
        <v>14.8</v>
      </c>
      <c r="Q39" s="64">
        <f t="shared" si="7"/>
        <v>3</v>
      </c>
      <c r="R39" s="63">
        <v>23</v>
      </c>
      <c r="S39" s="64">
        <f t="shared" si="8"/>
        <v>2</v>
      </c>
      <c r="T39" s="63">
        <v>39.8</v>
      </c>
      <c r="U39" s="64">
        <f t="shared" si="9"/>
        <v>9</v>
      </c>
      <c r="V39" s="63">
        <v>42.1</v>
      </c>
      <c r="W39" s="64">
        <f t="shared" si="10"/>
        <v>5</v>
      </c>
      <c r="X39" s="63">
        <v>13.5</v>
      </c>
      <c r="Y39" s="64">
        <f t="shared" si="11"/>
        <v>7</v>
      </c>
      <c r="Z39" s="63">
        <v>31.6</v>
      </c>
      <c r="AA39" s="204" t="s">
        <v>101</v>
      </c>
    </row>
    <row r="40" spans="1:27" ht="12" customHeight="1">
      <c r="A40" s="201" t="s">
        <v>41</v>
      </c>
      <c r="B40" s="202">
        <f t="shared" si="0"/>
        <v>18</v>
      </c>
      <c r="C40" s="63">
        <v>144.5</v>
      </c>
      <c r="D40" s="64">
        <f t="shared" si="1"/>
        <v>38</v>
      </c>
      <c r="E40" s="63">
        <v>3.6</v>
      </c>
      <c r="F40" s="64">
        <f t="shared" si="2"/>
        <v>39</v>
      </c>
      <c r="G40" s="231">
        <f>23*100/1940</f>
        <v>1.1855670103092784</v>
      </c>
      <c r="H40" s="64">
        <f t="shared" si="3"/>
        <v>33</v>
      </c>
      <c r="I40" s="63">
        <v>9.7</v>
      </c>
      <c r="J40" s="64">
        <f t="shared" si="4"/>
        <v>9</v>
      </c>
      <c r="K40" s="231">
        <f>1943*100/1940</f>
        <v>100.15463917525773</v>
      </c>
      <c r="L40" s="64">
        <f t="shared" si="5"/>
        <v>21</v>
      </c>
      <c r="M40" s="63">
        <v>12.8</v>
      </c>
      <c r="N40" s="221"/>
      <c r="O40" s="64">
        <f t="shared" si="6"/>
        <v>5</v>
      </c>
      <c r="P40" s="63">
        <v>15.1</v>
      </c>
      <c r="Q40" s="64">
        <f t="shared" si="7"/>
        <v>10</v>
      </c>
      <c r="R40" s="63">
        <v>20.3</v>
      </c>
      <c r="S40" s="64">
        <f t="shared" si="8"/>
        <v>10</v>
      </c>
      <c r="T40" s="63">
        <v>27</v>
      </c>
      <c r="U40" s="64">
        <f t="shared" si="9"/>
        <v>8</v>
      </c>
      <c r="V40" s="63">
        <v>42.7</v>
      </c>
      <c r="W40" s="64">
        <f t="shared" si="10"/>
        <v>8</v>
      </c>
      <c r="X40" s="63">
        <v>13</v>
      </c>
      <c r="Y40" s="64">
        <f t="shared" si="11"/>
        <v>46</v>
      </c>
      <c r="Z40" s="63">
        <v>20.5</v>
      </c>
      <c r="AA40" s="204" t="s">
        <v>102</v>
      </c>
    </row>
    <row r="41" spans="1:27" ht="12" customHeight="1">
      <c r="A41" s="201" t="s">
        <v>42</v>
      </c>
      <c r="B41" s="202">
        <f t="shared" si="0"/>
        <v>28</v>
      </c>
      <c r="C41" s="63">
        <v>134</v>
      </c>
      <c r="D41" s="64">
        <f t="shared" si="1"/>
        <v>24</v>
      </c>
      <c r="E41" s="63">
        <v>4.6</v>
      </c>
      <c r="F41" s="64">
        <f t="shared" si="2"/>
        <v>26</v>
      </c>
      <c r="G41" s="231">
        <f>46*100/2854</f>
        <v>1.6117729502452698</v>
      </c>
      <c r="H41" s="64">
        <f t="shared" si="3"/>
        <v>27</v>
      </c>
      <c r="I41" s="63">
        <v>10.6</v>
      </c>
      <c r="J41" s="64">
        <f t="shared" si="4"/>
        <v>25</v>
      </c>
      <c r="K41" s="63">
        <v>82.6</v>
      </c>
      <c r="L41" s="64">
        <f t="shared" si="5"/>
        <v>25</v>
      </c>
      <c r="M41" s="63">
        <v>12.4</v>
      </c>
      <c r="N41" s="221"/>
      <c r="O41" s="64">
        <f t="shared" si="6"/>
        <v>17</v>
      </c>
      <c r="P41" s="63">
        <v>13.3</v>
      </c>
      <c r="Q41" s="64">
        <f t="shared" si="7"/>
        <v>18</v>
      </c>
      <c r="R41" s="63">
        <v>17.7</v>
      </c>
      <c r="S41" s="64">
        <f t="shared" si="8"/>
        <v>27</v>
      </c>
      <c r="T41" s="63">
        <v>20.2</v>
      </c>
      <c r="U41" s="64">
        <f t="shared" si="9"/>
        <v>32</v>
      </c>
      <c r="V41" s="63">
        <v>32.4</v>
      </c>
      <c r="W41" s="64">
        <f t="shared" si="10"/>
        <v>32</v>
      </c>
      <c r="X41" s="63">
        <v>9.3</v>
      </c>
      <c r="Y41" s="64">
        <f t="shared" si="11"/>
        <v>37</v>
      </c>
      <c r="Z41" s="63">
        <v>22.8</v>
      </c>
      <c r="AA41" s="204" t="s">
        <v>103</v>
      </c>
    </row>
    <row r="42" spans="1:27" ht="12" customHeight="1">
      <c r="A42" s="201" t="s">
        <v>43</v>
      </c>
      <c r="B42" s="202">
        <f t="shared" si="0"/>
        <v>6</v>
      </c>
      <c r="C42" s="63">
        <v>162</v>
      </c>
      <c r="D42" s="64">
        <f t="shared" si="1"/>
        <v>17</v>
      </c>
      <c r="E42" s="63">
        <v>5</v>
      </c>
      <c r="F42" s="64">
        <f t="shared" si="2"/>
        <v>13</v>
      </c>
      <c r="G42" s="231">
        <f>29*100/1500</f>
        <v>1.9333333333333333</v>
      </c>
      <c r="H42" s="64">
        <f t="shared" si="3"/>
        <v>17</v>
      </c>
      <c r="I42" s="63">
        <v>11.3</v>
      </c>
      <c r="J42" s="64">
        <f t="shared" si="4"/>
        <v>3</v>
      </c>
      <c r="K42" s="63">
        <v>112.9</v>
      </c>
      <c r="L42" s="64">
        <f t="shared" si="5"/>
        <v>31</v>
      </c>
      <c r="M42" s="63">
        <v>11.7</v>
      </c>
      <c r="N42" s="221"/>
      <c r="O42" s="64">
        <f t="shared" si="6"/>
        <v>11</v>
      </c>
      <c r="P42" s="63">
        <v>14.3</v>
      </c>
      <c r="Q42" s="64">
        <f t="shared" si="7"/>
        <v>15</v>
      </c>
      <c r="R42" s="63">
        <v>18.4</v>
      </c>
      <c r="S42" s="64">
        <f t="shared" si="8"/>
        <v>18</v>
      </c>
      <c r="T42" s="63">
        <v>23.4</v>
      </c>
      <c r="U42" s="64">
        <f t="shared" si="9"/>
        <v>26</v>
      </c>
      <c r="V42" s="63">
        <v>34.7</v>
      </c>
      <c r="W42" s="64">
        <f t="shared" si="10"/>
        <v>14</v>
      </c>
      <c r="X42" s="231">
        <f>170*100/1500</f>
        <v>11.333333333333334</v>
      </c>
      <c r="Y42" s="64">
        <f t="shared" si="11"/>
        <v>14</v>
      </c>
      <c r="Z42" s="63">
        <v>27.5</v>
      </c>
      <c r="AA42" s="204" t="s">
        <v>77</v>
      </c>
    </row>
    <row r="43" spans="1:27" s="200" customFormat="1" ht="24" customHeight="1">
      <c r="A43" s="196" t="s">
        <v>44</v>
      </c>
      <c r="B43" s="197">
        <f t="shared" si="0"/>
        <v>4</v>
      </c>
      <c r="C43" s="61">
        <v>168.8</v>
      </c>
      <c r="D43" s="62">
        <f t="shared" si="1"/>
        <v>13</v>
      </c>
      <c r="E43" s="61">
        <v>5.2</v>
      </c>
      <c r="F43" s="62">
        <f t="shared" si="2"/>
        <v>6</v>
      </c>
      <c r="G43" s="230">
        <f>17*100/813</f>
        <v>2.091020910209102</v>
      </c>
      <c r="H43" s="62">
        <f t="shared" si="3"/>
        <v>1</v>
      </c>
      <c r="I43" s="61">
        <v>17.7</v>
      </c>
      <c r="J43" s="62">
        <f t="shared" si="4"/>
        <v>2</v>
      </c>
      <c r="K43" s="61">
        <v>113.8</v>
      </c>
      <c r="L43" s="62">
        <f t="shared" si="5"/>
        <v>3</v>
      </c>
      <c r="M43" s="61">
        <v>17.1</v>
      </c>
      <c r="N43" s="220"/>
      <c r="O43" s="62">
        <f t="shared" si="6"/>
        <v>17</v>
      </c>
      <c r="P43" s="61">
        <v>13.3</v>
      </c>
      <c r="Q43" s="62">
        <f t="shared" si="7"/>
        <v>1</v>
      </c>
      <c r="R43" s="61">
        <v>25.5</v>
      </c>
      <c r="S43" s="62">
        <f t="shared" si="8"/>
        <v>12</v>
      </c>
      <c r="T43" s="61">
        <v>26.8</v>
      </c>
      <c r="U43" s="62">
        <f t="shared" si="9"/>
        <v>11</v>
      </c>
      <c r="V43" s="61">
        <v>41.8</v>
      </c>
      <c r="W43" s="62">
        <f t="shared" si="10"/>
        <v>4</v>
      </c>
      <c r="X43" s="61">
        <v>13.7</v>
      </c>
      <c r="Y43" s="62">
        <f t="shared" si="11"/>
        <v>47</v>
      </c>
      <c r="Z43" s="61">
        <v>20.3</v>
      </c>
      <c r="AA43" s="199" t="s">
        <v>104</v>
      </c>
    </row>
    <row r="44" spans="1:27" ht="12" customHeight="1">
      <c r="A44" s="201" t="s">
        <v>45</v>
      </c>
      <c r="B44" s="202">
        <f t="shared" si="0"/>
        <v>11</v>
      </c>
      <c r="C44" s="63">
        <v>156.8</v>
      </c>
      <c r="D44" s="64">
        <f t="shared" si="1"/>
        <v>30</v>
      </c>
      <c r="E44" s="63">
        <v>4</v>
      </c>
      <c r="F44" s="64">
        <f t="shared" si="2"/>
        <v>15</v>
      </c>
      <c r="G44" s="231">
        <f>19*100/1014</f>
        <v>1.873767258382643</v>
      </c>
      <c r="H44" s="64">
        <f t="shared" si="3"/>
        <v>22</v>
      </c>
      <c r="I44" s="63">
        <v>10.8</v>
      </c>
      <c r="J44" s="64">
        <f t="shared" si="4"/>
        <v>5</v>
      </c>
      <c r="K44" s="63">
        <v>103.7</v>
      </c>
      <c r="L44" s="64">
        <f t="shared" si="5"/>
        <v>10</v>
      </c>
      <c r="M44" s="63">
        <v>14.4</v>
      </c>
      <c r="N44" s="221"/>
      <c r="O44" s="64">
        <f t="shared" si="6"/>
        <v>8</v>
      </c>
      <c r="P44" s="63">
        <v>14.6</v>
      </c>
      <c r="Q44" s="64">
        <f t="shared" si="7"/>
        <v>7</v>
      </c>
      <c r="R44" s="63">
        <v>21.2</v>
      </c>
      <c r="S44" s="64">
        <f t="shared" si="8"/>
        <v>7</v>
      </c>
      <c r="T44" s="63">
        <v>28</v>
      </c>
      <c r="U44" s="64">
        <f t="shared" si="9"/>
        <v>4</v>
      </c>
      <c r="V44" s="63">
        <v>44.8</v>
      </c>
      <c r="W44" s="64">
        <f t="shared" si="10"/>
        <v>1</v>
      </c>
      <c r="X44" s="63">
        <v>16.1</v>
      </c>
      <c r="Y44" s="64">
        <f t="shared" si="11"/>
        <v>40</v>
      </c>
      <c r="Z44" s="63">
        <v>22.3</v>
      </c>
      <c r="AA44" s="204" t="s">
        <v>105</v>
      </c>
    </row>
    <row r="45" spans="1:27" ht="12" customHeight="1">
      <c r="A45" s="201" t="s">
        <v>186</v>
      </c>
      <c r="B45" s="202">
        <f t="shared" si="0"/>
        <v>1</v>
      </c>
      <c r="C45" s="63">
        <v>176.7</v>
      </c>
      <c r="D45" s="64">
        <f t="shared" si="1"/>
        <v>20</v>
      </c>
      <c r="E45" s="63">
        <v>4.7</v>
      </c>
      <c r="F45" s="64">
        <f t="shared" si="2"/>
        <v>45</v>
      </c>
      <c r="G45" s="231">
        <f>14*100/1477</f>
        <v>0.9478672985781991</v>
      </c>
      <c r="H45" s="64">
        <f t="shared" si="3"/>
        <v>3</v>
      </c>
      <c r="I45" s="63">
        <v>13.1</v>
      </c>
      <c r="J45" s="64">
        <f t="shared" si="4"/>
        <v>13</v>
      </c>
      <c r="K45" s="63">
        <v>94.2</v>
      </c>
      <c r="L45" s="64">
        <f t="shared" si="5"/>
        <v>12</v>
      </c>
      <c r="M45" s="63">
        <v>14.2</v>
      </c>
      <c r="N45" s="221"/>
      <c r="O45" s="64">
        <f t="shared" si="6"/>
        <v>2</v>
      </c>
      <c r="P45" s="63">
        <v>16.2</v>
      </c>
      <c r="Q45" s="64">
        <f t="shared" si="7"/>
        <v>9</v>
      </c>
      <c r="R45" s="63">
        <v>20.5</v>
      </c>
      <c r="S45" s="64">
        <f t="shared" si="8"/>
        <v>6</v>
      </c>
      <c r="T45" s="63">
        <v>30.1</v>
      </c>
      <c r="U45" s="64">
        <f t="shared" si="9"/>
        <v>2</v>
      </c>
      <c r="V45" s="63">
        <v>46.4</v>
      </c>
      <c r="W45" s="64">
        <f t="shared" si="10"/>
        <v>7</v>
      </c>
      <c r="X45" s="63">
        <v>13.3</v>
      </c>
      <c r="Y45" s="64">
        <f t="shared" si="11"/>
        <v>19</v>
      </c>
      <c r="Z45" s="63">
        <v>26.7</v>
      </c>
      <c r="AA45" s="204" t="s">
        <v>92</v>
      </c>
    </row>
    <row r="46" spans="1:27" ht="12" customHeight="1">
      <c r="A46" s="201" t="s">
        <v>46</v>
      </c>
      <c r="B46" s="202">
        <f t="shared" si="0"/>
        <v>2</v>
      </c>
      <c r="C46" s="63">
        <v>170.9</v>
      </c>
      <c r="D46" s="64">
        <f t="shared" si="1"/>
        <v>20</v>
      </c>
      <c r="E46" s="63">
        <v>4.7</v>
      </c>
      <c r="F46" s="64">
        <f t="shared" si="2"/>
        <v>44</v>
      </c>
      <c r="G46" s="63">
        <v>1</v>
      </c>
      <c r="H46" s="64">
        <f t="shared" si="3"/>
        <v>21</v>
      </c>
      <c r="I46" s="63">
        <v>10.9</v>
      </c>
      <c r="J46" s="64">
        <f t="shared" si="4"/>
        <v>1</v>
      </c>
      <c r="K46" s="63">
        <v>114.1</v>
      </c>
      <c r="L46" s="64">
        <f t="shared" si="5"/>
        <v>15</v>
      </c>
      <c r="M46" s="63">
        <v>13.7</v>
      </c>
      <c r="N46" s="221"/>
      <c r="O46" s="64">
        <f t="shared" si="6"/>
        <v>1</v>
      </c>
      <c r="P46" s="63">
        <v>16.7</v>
      </c>
      <c r="Q46" s="64">
        <f t="shared" si="7"/>
        <v>1</v>
      </c>
      <c r="R46" s="63">
        <v>25.5</v>
      </c>
      <c r="S46" s="64">
        <f t="shared" si="8"/>
        <v>22</v>
      </c>
      <c r="T46" s="63">
        <v>21.4</v>
      </c>
      <c r="U46" s="64">
        <f t="shared" si="9"/>
        <v>1</v>
      </c>
      <c r="V46" s="63">
        <v>46.5</v>
      </c>
      <c r="W46" s="64">
        <f t="shared" si="10"/>
        <v>10</v>
      </c>
      <c r="X46" s="63">
        <v>12.4</v>
      </c>
      <c r="Y46" s="64">
        <f t="shared" si="11"/>
        <v>11</v>
      </c>
      <c r="Z46" s="63">
        <v>29.4</v>
      </c>
      <c r="AA46" s="204" t="s">
        <v>106</v>
      </c>
    </row>
    <row r="47" spans="1:27" ht="12" customHeight="1">
      <c r="A47" s="201" t="s">
        <v>47</v>
      </c>
      <c r="B47" s="202">
        <f t="shared" si="0"/>
        <v>44</v>
      </c>
      <c r="C47" s="63">
        <v>105.1</v>
      </c>
      <c r="D47" s="64">
        <f t="shared" si="1"/>
        <v>4</v>
      </c>
      <c r="E47" s="63">
        <v>6.9</v>
      </c>
      <c r="F47" s="64">
        <f t="shared" si="2"/>
        <v>7</v>
      </c>
      <c r="G47" s="231">
        <f>102*100/5018</f>
        <v>2.0326823435631725</v>
      </c>
      <c r="H47" s="64">
        <f t="shared" si="3"/>
        <v>38</v>
      </c>
      <c r="I47" s="63">
        <v>9.3</v>
      </c>
      <c r="J47" s="64">
        <f t="shared" si="4"/>
        <v>26</v>
      </c>
      <c r="K47" s="63">
        <v>81.2</v>
      </c>
      <c r="L47" s="64">
        <f t="shared" si="5"/>
        <v>30</v>
      </c>
      <c r="M47" s="63">
        <v>11.8</v>
      </c>
      <c r="N47" s="221"/>
      <c r="O47" s="64">
        <f t="shared" si="6"/>
        <v>21</v>
      </c>
      <c r="P47" s="63">
        <v>13</v>
      </c>
      <c r="Q47" s="64">
        <f t="shared" si="7"/>
        <v>34</v>
      </c>
      <c r="R47" s="63">
        <v>14.3</v>
      </c>
      <c r="S47" s="64">
        <f t="shared" si="8"/>
        <v>41</v>
      </c>
      <c r="T47" s="63">
        <v>13.7</v>
      </c>
      <c r="U47" s="64">
        <f t="shared" si="9"/>
        <v>24</v>
      </c>
      <c r="V47" s="63">
        <v>35.4</v>
      </c>
      <c r="W47" s="64">
        <f t="shared" si="10"/>
        <v>33</v>
      </c>
      <c r="X47" s="63">
        <v>9.1</v>
      </c>
      <c r="Y47" s="64">
        <f t="shared" si="11"/>
        <v>17</v>
      </c>
      <c r="Z47" s="63">
        <v>26.9</v>
      </c>
      <c r="AA47" s="204" t="s">
        <v>78</v>
      </c>
    </row>
    <row r="48" spans="1:27" s="200" customFormat="1" ht="24" customHeight="1">
      <c r="A48" s="196" t="s">
        <v>48</v>
      </c>
      <c r="B48" s="197">
        <f t="shared" si="0"/>
        <v>34</v>
      </c>
      <c r="C48" s="61">
        <v>128.9</v>
      </c>
      <c r="D48" s="62">
        <f t="shared" si="1"/>
        <v>4</v>
      </c>
      <c r="E48" s="61">
        <v>6.9</v>
      </c>
      <c r="F48" s="62">
        <f t="shared" si="2"/>
        <v>3</v>
      </c>
      <c r="G48" s="61">
        <v>2.3</v>
      </c>
      <c r="H48" s="62">
        <f t="shared" si="3"/>
        <v>23</v>
      </c>
      <c r="I48" s="61">
        <v>10.7</v>
      </c>
      <c r="J48" s="62">
        <f t="shared" si="4"/>
        <v>8</v>
      </c>
      <c r="K48" s="61">
        <v>100.2</v>
      </c>
      <c r="L48" s="62">
        <f t="shared" si="5"/>
        <v>5</v>
      </c>
      <c r="M48" s="61">
        <v>16</v>
      </c>
      <c r="N48" s="220"/>
      <c r="O48" s="62">
        <f t="shared" si="6"/>
        <v>19</v>
      </c>
      <c r="P48" s="61">
        <v>13.2</v>
      </c>
      <c r="Q48" s="62">
        <f t="shared" si="7"/>
        <v>31</v>
      </c>
      <c r="R48" s="61">
        <v>14.7</v>
      </c>
      <c r="S48" s="62">
        <f t="shared" si="8"/>
        <v>35</v>
      </c>
      <c r="T48" s="61">
        <v>16.9</v>
      </c>
      <c r="U48" s="62">
        <f t="shared" si="9"/>
        <v>16</v>
      </c>
      <c r="V48" s="61">
        <v>38.3</v>
      </c>
      <c r="W48" s="62">
        <f t="shared" si="10"/>
        <v>3</v>
      </c>
      <c r="X48" s="230">
        <f>120*100/869</f>
        <v>13.80897583429229</v>
      </c>
      <c r="Y48" s="62">
        <f t="shared" si="11"/>
        <v>31</v>
      </c>
      <c r="Z48" s="61">
        <v>24.9</v>
      </c>
      <c r="AA48" s="199" t="s">
        <v>107</v>
      </c>
    </row>
    <row r="49" spans="1:27" ht="12" customHeight="1">
      <c r="A49" s="201" t="s">
        <v>49</v>
      </c>
      <c r="B49" s="202">
        <f t="shared" si="0"/>
        <v>17</v>
      </c>
      <c r="C49" s="63">
        <v>146</v>
      </c>
      <c r="D49" s="64">
        <f t="shared" si="1"/>
        <v>2</v>
      </c>
      <c r="E49" s="63">
        <v>7.3</v>
      </c>
      <c r="F49" s="64">
        <f t="shared" si="2"/>
        <v>27</v>
      </c>
      <c r="G49" s="231">
        <f>24*100/1496</f>
        <v>1.6042780748663101</v>
      </c>
      <c r="H49" s="64">
        <f t="shared" si="3"/>
        <v>40</v>
      </c>
      <c r="I49" s="63">
        <v>9.1</v>
      </c>
      <c r="J49" s="64">
        <f t="shared" si="4"/>
        <v>10</v>
      </c>
      <c r="K49" s="63">
        <v>97.4</v>
      </c>
      <c r="L49" s="64">
        <f t="shared" si="5"/>
        <v>6</v>
      </c>
      <c r="M49" s="63">
        <v>15.7</v>
      </c>
      <c r="N49" s="221"/>
      <c r="O49" s="64">
        <f t="shared" si="6"/>
        <v>15</v>
      </c>
      <c r="P49" s="63">
        <v>13.6</v>
      </c>
      <c r="Q49" s="64">
        <f t="shared" si="7"/>
        <v>10</v>
      </c>
      <c r="R49" s="63">
        <v>20.3</v>
      </c>
      <c r="S49" s="64">
        <f t="shared" si="8"/>
        <v>37</v>
      </c>
      <c r="T49" s="63">
        <v>16.4</v>
      </c>
      <c r="U49" s="64">
        <f t="shared" si="9"/>
        <v>31</v>
      </c>
      <c r="V49" s="63">
        <v>32.8</v>
      </c>
      <c r="W49" s="64">
        <f t="shared" si="10"/>
        <v>29</v>
      </c>
      <c r="X49" s="63">
        <v>9.6</v>
      </c>
      <c r="Y49" s="64">
        <f t="shared" si="11"/>
        <v>10</v>
      </c>
      <c r="Z49" s="63">
        <v>30</v>
      </c>
      <c r="AA49" s="204" t="s">
        <v>89</v>
      </c>
    </row>
    <row r="50" spans="1:27" ht="12" customHeight="1">
      <c r="A50" s="201" t="s">
        <v>50</v>
      </c>
      <c r="B50" s="202">
        <f t="shared" si="0"/>
        <v>23</v>
      </c>
      <c r="C50" s="63">
        <v>139.3</v>
      </c>
      <c r="D50" s="64">
        <f t="shared" si="1"/>
        <v>9</v>
      </c>
      <c r="E50" s="63">
        <v>5.6</v>
      </c>
      <c r="F50" s="64">
        <f t="shared" si="2"/>
        <v>14</v>
      </c>
      <c r="G50" s="231">
        <f>35*100/1849</f>
        <v>1.8929150892374256</v>
      </c>
      <c r="H50" s="64">
        <f t="shared" si="3"/>
        <v>33</v>
      </c>
      <c r="I50" s="63">
        <v>9.7</v>
      </c>
      <c r="J50" s="64">
        <f t="shared" si="4"/>
        <v>12</v>
      </c>
      <c r="K50" s="63">
        <v>96.6</v>
      </c>
      <c r="L50" s="64">
        <f t="shared" si="5"/>
        <v>19</v>
      </c>
      <c r="M50" s="63">
        <v>13.2</v>
      </c>
      <c r="N50" s="221"/>
      <c r="O50" s="64">
        <f t="shared" si="6"/>
        <v>26</v>
      </c>
      <c r="P50" s="63">
        <v>11.8</v>
      </c>
      <c r="Q50" s="64">
        <f t="shared" si="7"/>
        <v>5</v>
      </c>
      <c r="R50" s="63">
        <v>22.4</v>
      </c>
      <c r="S50" s="64">
        <f t="shared" si="8"/>
        <v>16</v>
      </c>
      <c r="T50" s="63">
        <v>24.1</v>
      </c>
      <c r="U50" s="64">
        <f t="shared" si="9"/>
        <v>29</v>
      </c>
      <c r="V50" s="63">
        <v>33.8</v>
      </c>
      <c r="W50" s="64">
        <f t="shared" si="10"/>
        <v>25</v>
      </c>
      <c r="X50" s="63">
        <v>10</v>
      </c>
      <c r="Y50" s="64">
        <f t="shared" si="11"/>
        <v>17</v>
      </c>
      <c r="Z50" s="63">
        <v>26.9</v>
      </c>
      <c r="AA50" s="204" t="s">
        <v>108</v>
      </c>
    </row>
    <row r="51" spans="1:27" ht="12" customHeight="1">
      <c r="A51" s="192" t="s">
        <v>51</v>
      </c>
      <c r="B51" s="223">
        <f t="shared" si="0"/>
        <v>12</v>
      </c>
      <c r="C51" s="65">
        <v>154</v>
      </c>
      <c r="D51" s="66">
        <f t="shared" si="1"/>
        <v>7</v>
      </c>
      <c r="E51" s="65">
        <v>6.6</v>
      </c>
      <c r="F51" s="66">
        <f t="shared" si="2"/>
        <v>19</v>
      </c>
      <c r="G51" s="233">
        <f>21*100/1211</f>
        <v>1.7341040462427746</v>
      </c>
      <c r="H51" s="66">
        <f t="shared" si="3"/>
        <v>16</v>
      </c>
      <c r="I51" s="65">
        <v>11.6</v>
      </c>
      <c r="J51" s="66">
        <f t="shared" si="4"/>
        <v>16</v>
      </c>
      <c r="K51" s="65">
        <v>89.7</v>
      </c>
      <c r="L51" s="66">
        <f t="shared" si="5"/>
        <v>1</v>
      </c>
      <c r="M51" s="65">
        <v>17.5</v>
      </c>
      <c r="N51" s="219"/>
      <c r="O51" s="66">
        <f t="shared" si="6"/>
        <v>16</v>
      </c>
      <c r="P51" s="65">
        <v>13.4</v>
      </c>
      <c r="Q51" s="66">
        <f t="shared" si="7"/>
        <v>20</v>
      </c>
      <c r="R51" s="65">
        <v>17.4</v>
      </c>
      <c r="S51" s="66">
        <f t="shared" si="8"/>
        <v>29</v>
      </c>
      <c r="T51" s="65">
        <v>19.9</v>
      </c>
      <c r="U51" s="66">
        <f t="shared" si="9"/>
        <v>19</v>
      </c>
      <c r="V51" s="65">
        <v>37.4</v>
      </c>
      <c r="W51" s="66">
        <f t="shared" si="10"/>
        <v>17</v>
      </c>
      <c r="X51" s="233">
        <f>134*100/1211</f>
        <v>11.06523534269199</v>
      </c>
      <c r="Y51" s="66">
        <f t="shared" si="11"/>
        <v>27</v>
      </c>
      <c r="Z51" s="65">
        <v>25.5</v>
      </c>
      <c r="AA51" s="206" t="s">
        <v>96</v>
      </c>
    </row>
    <row r="52" spans="1:27" ht="12" customHeight="1">
      <c r="A52" s="201" t="s">
        <v>52</v>
      </c>
      <c r="B52" s="202">
        <f t="shared" si="0"/>
        <v>15</v>
      </c>
      <c r="C52" s="63">
        <v>149.2</v>
      </c>
      <c r="D52" s="64">
        <f t="shared" si="1"/>
        <v>12</v>
      </c>
      <c r="E52" s="63">
        <v>5.3</v>
      </c>
      <c r="F52" s="64">
        <f t="shared" si="2"/>
        <v>37</v>
      </c>
      <c r="G52" s="63">
        <v>1.2</v>
      </c>
      <c r="H52" s="64">
        <f t="shared" si="3"/>
        <v>32</v>
      </c>
      <c r="I52" s="63">
        <v>9.9</v>
      </c>
      <c r="J52" s="64">
        <f t="shared" si="4"/>
        <v>21</v>
      </c>
      <c r="K52" s="63">
        <v>86.6</v>
      </c>
      <c r="L52" s="64">
        <f t="shared" si="5"/>
        <v>7</v>
      </c>
      <c r="M52" s="63">
        <v>14.9</v>
      </c>
      <c r="N52" s="221"/>
      <c r="O52" s="64">
        <f t="shared" si="6"/>
        <v>26</v>
      </c>
      <c r="P52" s="63">
        <v>11.8</v>
      </c>
      <c r="Q52" s="64">
        <f t="shared" si="7"/>
        <v>19</v>
      </c>
      <c r="R52" s="63">
        <v>17.6</v>
      </c>
      <c r="S52" s="64">
        <f t="shared" si="8"/>
        <v>33</v>
      </c>
      <c r="T52" s="63">
        <v>17.2</v>
      </c>
      <c r="U52" s="64">
        <f t="shared" si="9"/>
        <v>20</v>
      </c>
      <c r="V52" s="63">
        <v>36.6</v>
      </c>
      <c r="W52" s="64">
        <f t="shared" si="10"/>
        <v>13</v>
      </c>
      <c r="X52" s="63">
        <v>11.6</v>
      </c>
      <c r="Y52" s="64">
        <f t="shared" si="11"/>
        <v>6</v>
      </c>
      <c r="Z52" s="63">
        <v>31.8</v>
      </c>
      <c r="AA52" s="204" t="s">
        <v>75</v>
      </c>
    </row>
    <row r="53" spans="1:27" s="200" customFormat="1" ht="24" customHeight="1">
      <c r="A53" s="196" t="s">
        <v>53</v>
      </c>
      <c r="B53" s="197">
        <f t="shared" si="0"/>
        <v>14</v>
      </c>
      <c r="C53" s="61">
        <v>150.6</v>
      </c>
      <c r="D53" s="62">
        <f t="shared" si="1"/>
        <v>16</v>
      </c>
      <c r="E53" s="61">
        <v>5.1</v>
      </c>
      <c r="F53" s="62">
        <f t="shared" si="2"/>
        <v>16</v>
      </c>
      <c r="G53" s="61">
        <v>1.8</v>
      </c>
      <c r="H53" s="62">
        <f t="shared" si="3"/>
        <v>4</v>
      </c>
      <c r="I53" s="61">
        <v>13</v>
      </c>
      <c r="J53" s="62">
        <f t="shared" si="4"/>
        <v>4</v>
      </c>
      <c r="K53" s="61">
        <v>103.9</v>
      </c>
      <c r="L53" s="62">
        <f t="shared" si="5"/>
        <v>2</v>
      </c>
      <c r="M53" s="61">
        <v>17.3</v>
      </c>
      <c r="N53" s="220"/>
      <c r="O53" s="62">
        <f t="shared" si="6"/>
        <v>6</v>
      </c>
      <c r="P53" s="61">
        <v>14.9</v>
      </c>
      <c r="Q53" s="62">
        <f t="shared" si="7"/>
        <v>12</v>
      </c>
      <c r="R53" s="61">
        <v>19.9</v>
      </c>
      <c r="S53" s="62">
        <f t="shared" si="8"/>
        <v>28</v>
      </c>
      <c r="T53" s="61">
        <v>20.1</v>
      </c>
      <c r="U53" s="62">
        <f t="shared" si="9"/>
        <v>12</v>
      </c>
      <c r="V53" s="61">
        <v>40.2</v>
      </c>
      <c r="W53" s="62">
        <f t="shared" si="10"/>
        <v>26</v>
      </c>
      <c r="X53" s="61">
        <v>9.9</v>
      </c>
      <c r="Y53" s="62">
        <f t="shared" si="11"/>
        <v>15</v>
      </c>
      <c r="Z53" s="61">
        <v>27.2</v>
      </c>
      <c r="AA53" s="199" t="s">
        <v>109</v>
      </c>
    </row>
    <row r="54" spans="1:27" ht="12" customHeight="1">
      <c r="A54" s="207" t="s">
        <v>54</v>
      </c>
      <c r="B54" s="208">
        <f t="shared" si="0"/>
        <v>47</v>
      </c>
      <c r="C54" s="209">
        <v>90.6</v>
      </c>
      <c r="D54" s="67">
        <f t="shared" si="1"/>
        <v>38</v>
      </c>
      <c r="E54" s="209">
        <v>3.6</v>
      </c>
      <c r="F54" s="67">
        <f t="shared" si="2"/>
        <v>22</v>
      </c>
      <c r="G54" s="234">
        <f>23*100/1342</f>
        <v>1.713859910581222</v>
      </c>
      <c r="H54" s="67">
        <f t="shared" si="3"/>
        <v>40</v>
      </c>
      <c r="I54" s="209">
        <v>9.1</v>
      </c>
      <c r="J54" s="67">
        <f t="shared" si="4"/>
        <v>44</v>
      </c>
      <c r="K54" s="209">
        <v>60.8</v>
      </c>
      <c r="L54" s="67">
        <f t="shared" si="5"/>
        <v>4</v>
      </c>
      <c r="M54" s="209">
        <v>16.2</v>
      </c>
      <c r="N54" s="221"/>
      <c r="O54" s="67">
        <f t="shared" si="6"/>
        <v>13</v>
      </c>
      <c r="P54" s="209">
        <v>13.9</v>
      </c>
      <c r="Q54" s="67">
        <f t="shared" si="7"/>
        <v>46</v>
      </c>
      <c r="R54" s="209">
        <v>10.5</v>
      </c>
      <c r="S54" s="67">
        <f t="shared" si="8"/>
        <v>46</v>
      </c>
      <c r="T54" s="209">
        <v>11.5</v>
      </c>
      <c r="U54" s="67">
        <f t="shared" si="9"/>
        <v>41</v>
      </c>
      <c r="V54" s="209">
        <v>23.9</v>
      </c>
      <c r="W54" s="67">
        <f t="shared" si="10"/>
        <v>42</v>
      </c>
      <c r="X54" s="209">
        <v>7.5</v>
      </c>
      <c r="Y54" s="67">
        <f t="shared" si="11"/>
        <v>24</v>
      </c>
      <c r="Z54" s="209">
        <v>26.1</v>
      </c>
      <c r="AA54" s="211" t="s">
        <v>110</v>
      </c>
    </row>
  </sheetData>
  <mergeCells count="15">
    <mergeCell ref="A4:A6"/>
    <mergeCell ref="B4:C5"/>
    <mergeCell ref="AA4:AA6"/>
    <mergeCell ref="L4:M5"/>
    <mergeCell ref="O4:P5"/>
    <mergeCell ref="U4:V5"/>
    <mergeCell ref="D4:E5"/>
    <mergeCell ref="F4:G5"/>
    <mergeCell ref="H4:I5"/>
    <mergeCell ref="J4:K5"/>
    <mergeCell ref="Y4:Z5"/>
    <mergeCell ref="Q4:R5"/>
    <mergeCell ref="S4:T5"/>
    <mergeCell ref="W5:X5"/>
    <mergeCell ref="W4:X4"/>
  </mergeCells>
  <printOptions horizontalCentered="1" verticalCentered="1"/>
  <pageMargins left="0.5905511811023623" right="0.3937007874015748" top="0" bottom="0" header="0.5118110236220472" footer="0.5118110236220472"/>
  <pageSetup blackAndWhite="1" fitToWidth="2" fitToHeight="1" orientation="portrait" paperSize="9" scale="92" r:id="rId1"/>
  <ignoredErrors>
    <ignoredError sqref="G13:G25 G7:G12 G52:G54 X29:X32 X26:X28 X40 G44:G51 V29:V32 X13:X25 X44:X51 X33:X39 X41:X43 K40 G33:G39 G26:G28 G29:G32 G41:G43 G40 K41:K43 J26:J43 K26:K39 F26:F43 C26:D43 H26:H43 L26:L43 N26:O4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Y5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8.125" style="161" customWidth="1"/>
    <col min="2" max="2" width="6.125" style="161" customWidth="1"/>
    <col min="3" max="3" width="10.125" style="161" customWidth="1"/>
    <col min="4" max="4" width="6.125" style="161" customWidth="1"/>
    <col min="5" max="5" width="10.125" style="161" customWidth="1"/>
    <col min="6" max="6" width="6.125" style="161" customWidth="1"/>
    <col min="7" max="7" width="10.125" style="161" customWidth="1"/>
    <col min="8" max="8" width="6.125" style="162" customWidth="1"/>
    <col min="9" max="9" width="10.125" style="162" customWidth="1"/>
    <col min="10" max="10" width="6.125" style="161" customWidth="1"/>
    <col min="11" max="11" width="10.125" style="161" customWidth="1"/>
    <col min="12" max="12" width="6.125" style="161" customWidth="1"/>
    <col min="13" max="13" width="10.125" style="213" customWidth="1"/>
    <col min="14" max="14" width="3.625" style="72" customWidth="1"/>
    <col min="15" max="15" width="6.125" style="161" customWidth="1"/>
    <col min="16" max="16" width="10.125" style="161" customWidth="1"/>
    <col min="17" max="17" width="6.125" style="162" customWidth="1"/>
    <col min="18" max="18" width="10.125" style="162" customWidth="1"/>
    <col min="19" max="19" width="6.125" style="162" customWidth="1"/>
    <col min="20" max="20" width="10.125" style="162" customWidth="1"/>
    <col min="21" max="21" width="6.125" style="162" customWidth="1"/>
    <col min="22" max="22" width="10.125" style="162" customWidth="1"/>
    <col min="23" max="23" width="6.125" style="162" customWidth="1"/>
    <col min="24" max="24" width="10.125" style="162" customWidth="1"/>
    <col min="25" max="25" width="5.625" style="161" customWidth="1"/>
    <col min="26" max="16384" width="9.00390625" style="159" customWidth="1"/>
  </cols>
  <sheetData>
    <row r="1" spans="1:25" ht="18.75">
      <c r="A1" s="155" t="s">
        <v>55</v>
      </c>
      <c r="B1" s="156"/>
      <c r="C1" s="156"/>
      <c r="D1" s="157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6"/>
      <c r="Y1" s="156"/>
    </row>
    <row r="2" spans="1:25" ht="18.75">
      <c r="A2" s="155" t="s">
        <v>136</v>
      </c>
      <c r="B2" s="160"/>
      <c r="D2" s="157" t="s">
        <v>179</v>
      </c>
      <c r="E2" s="158"/>
      <c r="F2" s="158"/>
      <c r="G2" s="158"/>
      <c r="H2" s="158"/>
      <c r="I2" s="158"/>
      <c r="J2" s="158"/>
      <c r="K2" s="158"/>
      <c r="L2" s="158"/>
      <c r="M2" s="159"/>
      <c r="N2" s="158"/>
      <c r="O2" s="157" t="s">
        <v>173</v>
      </c>
      <c r="P2" s="158"/>
      <c r="Q2" s="158"/>
      <c r="R2" s="158"/>
      <c r="S2" s="158"/>
      <c r="T2" s="158"/>
      <c r="U2" s="158"/>
      <c r="V2" s="158"/>
      <c r="W2" s="158"/>
      <c r="Y2" s="163"/>
    </row>
    <row r="3" spans="1:25" ht="14.25" thickBot="1">
      <c r="A3" s="164"/>
      <c r="B3" s="164"/>
      <c r="C3" s="164"/>
      <c r="D3" s="164"/>
      <c r="E3" s="164"/>
      <c r="F3" s="164"/>
      <c r="G3" s="164"/>
      <c r="H3" s="165"/>
      <c r="I3" s="165"/>
      <c r="J3" s="164"/>
      <c r="K3" s="164"/>
      <c r="L3" s="72"/>
      <c r="M3" s="226"/>
      <c r="O3" s="164"/>
      <c r="P3" s="164"/>
      <c r="Q3" s="165"/>
      <c r="R3" s="165"/>
      <c r="S3" s="165"/>
      <c r="T3" s="165"/>
      <c r="U3" s="165"/>
      <c r="V3" s="165"/>
      <c r="W3" s="165"/>
      <c r="X3" s="165"/>
      <c r="Y3" s="166" t="s">
        <v>196</v>
      </c>
    </row>
    <row r="4" spans="1:25" ht="10.5" customHeight="1">
      <c r="A4" s="167" t="s">
        <v>1</v>
      </c>
      <c r="B4" s="168" t="s">
        <v>137</v>
      </c>
      <c r="C4" s="169"/>
      <c r="D4" s="170"/>
      <c r="E4" s="170"/>
      <c r="F4" s="170"/>
      <c r="G4" s="171"/>
      <c r="H4" s="228" t="s">
        <v>140</v>
      </c>
      <c r="I4" s="227"/>
      <c r="J4" s="228" t="s">
        <v>141</v>
      </c>
      <c r="K4" s="227"/>
      <c r="L4" s="168" t="s">
        <v>142</v>
      </c>
      <c r="M4" s="229"/>
      <c r="N4" s="78"/>
      <c r="O4" s="216"/>
      <c r="P4" s="216"/>
      <c r="Q4" s="216"/>
      <c r="R4" s="216"/>
      <c r="S4" s="216"/>
      <c r="T4" s="217"/>
      <c r="U4" s="168" t="s">
        <v>145</v>
      </c>
      <c r="V4" s="227"/>
      <c r="W4" s="169" t="s">
        <v>146</v>
      </c>
      <c r="X4" s="235"/>
      <c r="Y4" s="173" t="s">
        <v>1</v>
      </c>
    </row>
    <row r="5" spans="1:25" ht="33" customHeight="1">
      <c r="A5" s="174"/>
      <c r="B5" s="175"/>
      <c r="C5" s="176"/>
      <c r="D5" s="179" t="s">
        <v>138</v>
      </c>
      <c r="E5" s="180"/>
      <c r="F5" s="179" t="s">
        <v>139</v>
      </c>
      <c r="G5" s="180"/>
      <c r="H5" s="177"/>
      <c r="I5" s="178"/>
      <c r="J5" s="177"/>
      <c r="K5" s="178"/>
      <c r="L5" s="177"/>
      <c r="M5" s="218"/>
      <c r="N5" s="78"/>
      <c r="O5" s="236" t="s">
        <v>143</v>
      </c>
      <c r="P5" s="180"/>
      <c r="Q5" s="179" t="s">
        <v>144</v>
      </c>
      <c r="R5" s="180"/>
      <c r="S5" s="179" t="s">
        <v>190</v>
      </c>
      <c r="T5" s="180"/>
      <c r="U5" s="177"/>
      <c r="V5" s="178"/>
      <c r="W5" s="181"/>
      <c r="X5" s="176"/>
      <c r="Y5" s="184"/>
    </row>
    <row r="6" spans="1:25" ht="27.75" customHeight="1">
      <c r="A6" s="185"/>
      <c r="B6" s="186" t="s">
        <v>2</v>
      </c>
      <c r="C6" s="187" t="s">
        <v>116</v>
      </c>
      <c r="D6" s="186" t="s">
        <v>2</v>
      </c>
      <c r="E6" s="187" t="s">
        <v>116</v>
      </c>
      <c r="F6" s="186" t="s">
        <v>2</v>
      </c>
      <c r="G6" s="187" t="s">
        <v>116</v>
      </c>
      <c r="H6" s="186" t="s">
        <v>2</v>
      </c>
      <c r="I6" s="187" t="s">
        <v>116</v>
      </c>
      <c r="J6" s="186" t="s">
        <v>2</v>
      </c>
      <c r="K6" s="187" t="s">
        <v>116</v>
      </c>
      <c r="L6" s="186" t="s">
        <v>2</v>
      </c>
      <c r="M6" s="190" t="s">
        <v>116</v>
      </c>
      <c r="N6" s="78"/>
      <c r="O6" s="189" t="s">
        <v>2</v>
      </c>
      <c r="P6" s="187" t="s">
        <v>116</v>
      </c>
      <c r="Q6" s="186" t="s">
        <v>2</v>
      </c>
      <c r="R6" s="187" t="s">
        <v>116</v>
      </c>
      <c r="S6" s="186" t="s">
        <v>2</v>
      </c>
      <c r="T6" s="187" t="s">
        <v>116</v>
      </c>
      <c r="U6" s="186" t="s">
        <v>2</v>
      </c>
      <c r="V6" s="187" t="s">
        <v>116</v>
      </c>
      <c r="W6" s="186" t="s">
        <v>2</v>
      </c>
      <c r="X6" s="187" t="s">
        <v>116</v>
      </c>
      <c r="Y6" s="191"/>
    </row>
    <row r="7" spans="1:25" ht="12" customHeight="1">
      <c r="A7" s="192" t="s">
        <v>8</v>
      </c>
      <c r="B7" s="193"/>
      <c r="C7" s="59">
        <v>7.1</v>
      </c>
      <c r="D7" s="60"/>
      <c r="E7" s="59">
        <v>0.8</v>
      </c>
      <c r="F7" s="60"/>
      <c r="G7" s="59">
        <v>6.3</v>
      </c>
      <c r="H7" s="60"/>
      <c r="I7" s="59">
        <v>75.3</v>
      </c>
      <c r="J7" s="60"/>
      <c r="K7" s="59">
        <v>51.6</v>
      </c>
      <c r="L7" s="60"/>
      <c r="M7" s="59">
        <v>1278.9</v>
      </c>
      <c r="N7" s="219"/>
      <c r="O7" s="60"/>
      <c r="P7" s="59">
        <v>277.7</v>
      </c>
      <c r="Q7" s="60"/>
      <c r="R7" s="59">
        <v>11.4</v>
      </c>
      <c r="S7" s="60"/>
      <c r="T7" s="59">
        <v>989.9</v>
      </c>
      <c r="U7" s="60"/>
      <c r="V7" s="59">
        <v>147.2</v>
      </c>
      <c r="W7" s="60"/>
      <c r="X7" s="59">
        <v>1088.2</v>
      </c>
      <c r="Y7" s="195" t="s">
        <v>71</v>
      </c>
    </row>
    <row r="8" spans="1:25" s="200" customFormat="1" ht="24" customHeight="1">
      <c r="A8" s="196" t="s">
        <v>9</v>
      </c>
      <c r="B8" s="197">
        <f aca="true" t="shared" si="0" ref="B8:B54">IF(C8="","",RANK(C8,C$8:C$54))</f>
        <v>9</v>
      </c>
      <c r="C8" s="61">
        <v>11.2</v>
      </c>
      <c r="D8" s="62">
        <f aca="true" t="shared" si="1" ref="D8:D54">IF(E8="","",RANK(E8,E$8:E$54))</f>
        <v>12</v>
      </c>
      <c r="E8" s="61">
        <v>1.2</v>
      </c>
      <c r="F8" s="62">
        <f aca="true" t="shared" si="2" ref="F8:F54">IF(G8="","",RANK(G8,G$8:G$54))</f>
        <v>7</v>
      </c>
      <c r="G8" s="61">
        <v>10</v>
      </c>
      <c r="H8" s="62">
        <f aca="true" t="shared" si="3" ref="H8:H54">IF(I8="","",RANK(I8,I$8:I$54))</f>
        <v>44</v>
      </c>
      <c r="I8" s="61">
        <v>59.4</v>
      </c>
      <c r="J8" s="62">
        <f aca="true" t="shared" si="4" ref="J8:J54">IF(K8="","",RANK(K8,K$8:K$54))</f>
        <v>4</v>
      </c>
      <c r="K8" s="61">
        <v>52.9</v>
      </c>
      <c r="L8" s="62">
        <f aca="true" t="shared" si="5" ref="L8:L54">IF(M8="","",RANK(M8,M$8:M$54))</f>
        <v>6</v>
      </c>
      <c r="M8" s="61">
        <v>1876.3</v>
      </c>
      <c r="N8" s="220"/>
      <c r="O8" s="62">
        <f aca="true" t="shared" si="6" ref="O8:O54">IF(P8="","",RANK(P8,P$8:P$54))</f>
        <v>15</v>
      </c>
      <c r="P8" s="61">
        <v>380.5</v>
      </c>
      <c r="Q8" s="62">
        <f aca="true" t="shared" si="7" ref="Q8:Q54">IF(R8="","",RANK(R8,R$8:R$54))</f>
        <v>24</v>
      </c>
      <c r="R8" s="61">
        <v>13.8</v>
      </c>
      <c r="S8" s="62">
        <f aca="true" t="shared" si="8" ref="S8:S54">IF(T8="","",RANK(T8,T$8:T$54))</f>
        <v>2</v>
      </c>
      <c r="T8" s="61">
        <v>1481.9</v>
      </c>
      <c r="U8" s="62">
        <f aca="true" t="shared" si="9" ref="U8:U54">IF(V8="","",RANK(V8,V$8:V$54))</f>
        <v>18</v>
      </c>
      <c r="V8" s="61">
        <v>203.7</v>
      </c>
      <c r="W8" s="62">
        <f aca="true" t="shared" si="10" ref="W8:W54">IF(X8="","",RANK(X8,X$8:X$54))</f>
        <v>8</v>
      </c>
      <c r="X8" s="61">
        <v>1575.4</v>
      </c>
      <c r="Y8" s="199" t="s">
        <v>72</v>
      </c>
    </row>
    <row r="9" spans="1:25" ht="12" customHeight="1">
      <c r="A9" s="201" t="s">
        <v>10</v>
      </c>
      <c r="B9" s="202">
        <f t="shared" si="0"/>
        <v>22</v>
      </c>
      <c r="C9" s="63">
        <v>7.5</v>
      </c>
      <c r="D9" s="64">
        <f t="shared" si="1"/>
        <v>21</v>
      </c>
      <c r="E9" s="63">
        <v>1</v>
      </c>
      <c r="F9" s="64">
        <f t="shared" si="2"/>
        <v>22</v>
      </c>
      <c r="G9" s="63">
        <v>6.5</v>
      </c>
      <c r="H9" s="64">
        <f t="shared" si="3"/>
        <v>37</v>
      </c>
      <c r="I9" s="63">
        <v>66.5</v>
      </c>
      <c r="J9" s="64">
        <f t="shared" si="4"/>
        <v>43</v>
      </c>
      <c r="K9" s="63">
        <v>38.9</v>
      </c>
      <c r="L9" s="64">
        <f t="shared" si="5"/>
        <v>27</v>
      </c>
      <c r="M9" s="63">
        <v>1346.5</v>
      </c>
      <c r="N9" s="221"/>
      <c r="O9" s="64">
        <f t="shared" si="6"/>
        <v>22</v>
      </c>
      <c r="P9" s="63">
        <v>317.9</v>
      </c>
      <c r="Q9" s="64">
        <f t="shared" si="7"/>
        <v>20</v>
      </c>
      <c r="R9" s="63">
        <v>14.1</v>
      </c>
      <c r="S9" s="64">
        <f t="shared" si="8"/>
        <v>29</v>
      </c>
      <c r="T9" s="63">
        <v>1014.5</v>
      </c>
      <c r="U9" s="64">
        <f t="shared" si="9"/>
        <v>9</v>
      </c>
      <c r="V9" s="63">
        <v>364.4</v>
      </c>
      <c r="W9" s="64">
        <f t="shared" si="10"/>
        <v>27</v>
      </c>
      <c r="X9" s="63">
        <v>1111</v>
      </c>
      <c r="Y9" s="204" t="s">
        <v>73</v>
      </c>
    </row>
    <row r="10" spans="1:25" ht="12" customHeight="1">
      <c r="A10" s="201" t="s">
        <v>11</v>
      </c>
      <c r="B10" s="202">
        <f t="shared" si="0"/>
        <v>20</v>
      </c>
      <c r="C10" s="63">
        <v>7.8</v>
      </c>
      <c r="D10" s="64">
        <f t="shared" si="1"/>
        <v>15</v>
      </c>
      <c r="E10" s="63">
        <v>1.1</v>
      </c>
      <c r="F10" s="64">
        <f t="shared" si="2"/>
        <v>21</v>
      </c>
      <c r="G10" s="63">
        <v>6.6</v>
      </c>
      <c r="H10" s="64">
        <f t="shared" si="3"/>
        <v>42</v>
      </c>
      <c r="I10" s="63">
        <v>64.2</v>
      </c>
      <c r="J10" s="64">
        <f t="shared" si="4"/>
        <v>39</v>
      </c>
      <c r="K10" s="63">
        <v>41.5</v>
      </c>
      <c r="L10" s="64">
        <f t="shared" si="5"/>
        <v>24</v>
      </c>
      <c r="M10" s="63">
        <v>1430.7</v>
      </c>
      <c r="N10" s="221"/>
      <c r="O10" s="64">
        <f t="shared" si="6"/>
        <v>20</v>
      </c>
      <c r="P10" s="63">
        <v>325.2</v>
      </c>
      <c r="Q10" s="64">
        <f t="shared" si="7"/>
        <v>12</v>
      </c>
      <c r="R10" s="63">
        <v>15.7</v>
      </c>
      <c r="S10" s="64">
        <f t="shared" si="8"/>
        <v>24</v>
      </c>
      <c r="T10" s="63">
        <v>1089.9</v>
      </c>
      <c r="U10" s="64">
        <f t="shared" si="9"/>
        <v>14</v>
      </c>
      <c r="V10" s="63">
        <v>245.6</v>
      </c>
      <c r="W10" s="64">
        <f t="shared" si="10"/>
        <v>23</v>
      </c>
      <c r="X10" s="63">
        <v>1225.7</v>
      </c>
      <c r="Y10" s="204" t="s">
        <v>74</v>
      </c>
    </row>
    <row r="11" spans="1:25" ht="12" customHeight="1">
      <c r="A11" s="201" t="s">
        <v>12</v>
      </c>
      <c r="B11" s="202">
        <f t="shared" si="0"/>
        <v>34</v>
      </c>
      <c r="C11" s="63">
        <v>6.2</v>
      </c>
      <c r="D11" s="64">
        <f t="shared" si="1"/>
        <v>15</v>
      </c>
      <c r="E11" s="63">
        <v>1.1</v>
      </c>
      <c r="F11" s="64">
        <f t="shared" si="2"/>
        <v>35</v>
      </c>
      <c r="G11" s="63">
        <v>5.1</v>
      </c>
      <c r="H11" s="64">
        <f t="shared" si="3"/>
        <v>39</v>
      </c>
      <c r="I11" s="63">
        <v>65.8</v>
      </c>
      <c r="J11" s="64">
        <f t="shared" si="4"/>
        <v>36</v>
      </c>
      <c r="K11" s="63">
        <v>42.8</v>
      </c>
      <c r="L11" s="64">
        <f t="shared" si="5"/>
        <v>38</v>
      </c>
      <c r="M11" s="63">
        <v>1103</v>
      </c>
      <c r="N11" s="221"/>
      <c r="O11" s="64">
        <f t="shared" si="6"/>
        <v>36</v>
      </c>
      <c r="P11" s="63">
        <v>241.4</v>
      </c>
      <c r="Q11" s="64">
        <f t="shared" si="7"/>
        <v>39</v>
      </c>
      <c r="R11" s="63">
        <v>7.6</v>
      </c>
      <c r="S11" s="64">
        <f t="shared" si="8"/>
        <v>40</v>
      </c>
      <c r="T11" s="63">
        <v>854</v>
      </c>
      <c r="U11" s="64">
        <f t="shared" si="9"/>
        <v>25</v>
      </c>
      <c r="V11" s="63">
        <v>161.4</v>
      </c>
      <c r="W11" s="64">
        <f t="shared" si="10"/>
        <v>39</v>
      </c>
      <c r="X11" s="63">
        <v>896.5</v>
      </c>
      <c r="Y11" s="204" t="s">
        <v>75</v>
      </c>
    </row>
    <row r="12" spans="1:25" ht="12" customHeight="1">
      <c r="A12" s="201" t="s">
        <v>13</v>
      </c>
      <c r="B12" s="202">
        <f t="shared" si="0"/>
        <v>28</v>
      </c>
      <c r="C12" s="63">
        <v>6.9</v>
      </c>
      <c r="D12" s="64">
        <f t="shared" si="1"/>
        <v>11</v>
      </c>
      <c r="E12" s="63">
        <v>1.3</v>
      </c>
      <c r="F12" s="64">
        <f t="shared" si="2"/>
        <v>32</v>
      </c>
      <c r="G12" s="63">
        <v>5.6</v>
      </c>
      <c r="H12" s="64">
        <f t="shared" si="3"/>
        <v>30</v>
      </c>
      <c r="I12" s="63">
        <v>69</v>
      </c>
      <c r="J12" s="64">
        <f t="shared" si="4"/>
        <v>41</v>
      </c>
      <c r="K12" s="63">
        <v>41</v>
      </c>
      <c r="L12" s="64">
        <f t="shared" si="5"/>
        <v>18</v>
      </c>
      <c r="M12" s="63">
        <v>1494.9</v>
      </c>
      <c r="N12" s="221"/>
      <c r="O12" s="64">
        <f t="shared" si="6"/>
        <v>13</v>
      </c>
      <c r="P12" s="63">
        <v>383.3</v>
      </c>
      <c r="Q12" s="64">
        <f t="shared" si="7"/>
        <v>20</v>
      </c>
      <c r="R12" s="63">
        <v>14.1</v>
      </c>
      <c r="S12" s="64">
        <f t="shared" si="8"/>
        <v>23</v>
      </c>
      <c r="T12" s="63">
        <v>1097.5</v>
      </c>
      <c r="U12" s="64">
        <f t="shared" si="9"/>
        <v>23</v>
      </c>
      <c r="V12" s="63">
        <v>163</v>
      </c>
      <c r="W12" s="64">
        <f t="shared" si="10"/>
        <v>19</v>
      </c>
      <c r="X12" s="63">
        <v>1295.9</v>
      </c>
      <c r="Y12" s="204" t="s">
        <v>76</v>
      </c>
    </row>
    <row r="13" spans="1:25" s="200" customFormat="1" ht="24" customHeight="1">
      <c r="A13" s="196" t="s">
        <v>14</v>
      </c>
      <c r="B13" s="197">
        <f t="shared" si="0"/>
        <v>38</v>
      </c>
      <c r="C13" s="61">
        <v>5.6</v>
      </c>
      <c r="D13" s="62">
        <f t="shared" si="1"/>
        <v>15</v>
      </c>
      <c r="E13" s="61">
        <v>1.1</v>
      </c>
      <c r="F13" s="62">
        <f t="shared" si="2"/>
        <v>42</v>
      </c>
      <c r="G13" s="61">
        <v>4.5</v>
      </c>
      <c r="H13" s="62">
        <f t="shared" si="3"/>
        <v>24</v>
      </c>
      <c r="I13" s="61">
        <v>73.7</v>
      </c>
      <c r="J13" s="62">
        <f t="shared" si="4"/>
        <v>46</v>
      </c>
      <c r="K13" s="61">
        <v>37.8</v>
      </c>
      <c r="L13" s="62">
        <f t="shared" si="5"/>
        <v>32</v>
      </c>
      <c r="M13" s="61">
        <v>1202.5</v>
      </c>
      <c r="N13" s="220"/>
      <c r="O13" s="62">
        <f t="shared" si="6"/>
        <v>28</v>
      </c>
      <c r="P13" s="61">
        <v>277.6</v>
      </c>
      <c r="Q13" s="62">
        <f t="shared" si="7"/>
        <v>47</v>
      </c>
      <c r="R13" s="61">
        <v>4.1</v>
      </c>
      <c r="S13" s="62">
        <f t="shared" si="8"/>
        <v>34</v>
      </c>
      <c r="T13" s="61">
        <v>920.9</v>
      </c>
      <c r="U13" s="62">
        <f t="shared" si="9"/>
        <v>33</v>
      </c>
      <c r="V13" s="61">
        <v>130.2</v>
      </c>
      <c r="W13" s="62">
        <f t="shared" si="10"/>
        <v>32</v>
      </c>
      <c r="X13" s="61">
        <v>1028</v>
      </c>
      <c r="Y13" s="199" t="s">
        <v>77</v>
      </c>
    </row>
    <row r="14" spans="1:25" ht="12" customHeight="1">
      <c r="A14" s="201" t="s">
        <v>15</v>
      </c>
      <c r="B14" s="202">
        <f t="shared" si="0"/>
        <v>24</v>
      </c>
      <c r="C14" s="63">
        <v>7.2</v>
      </c>
      <c r="D14" s="64">
        <f t="shared" si="1"/>
        <v>15</v>
      </c>
      <c r="E14" s="63">
        <v>1.1</v>
      </c>
      <c r="F14" s="64">
        <f t="shared" si="2"/>
        <v>27</v>
      </c>
      <c r="G14" s="63">
        <v>6.1</v>
      </c>
      <c r="H14" s="64">
        <f t="shared" si="3"/>
        <v>36</v>
      </c>
      <c r="I14" s="63">
        <v>67.1</v>
      </c>
      <c r="J14" s="64">
        <f t="shared" si="4"/>
        <v>38</v>
      </c>
      <c r="K14" s="63">
        <v>41.7</v>
      </c>
      <c r="L14" s="64">
        <f t="shared" si="5"/>
        <v>23</v>
      </c>
      <c r="M14" s="63">
        <v>1437.7</v>
      </c>
      <c r="N14" s="221"/>
      <c r="O14" s="64">
        <f t="shared" si="6"/>
        <v>14</v>
      </c>
      <c r="P14" s="63">
        <v>382.6</v>
      </c>
      <c r="Q14" s="64">
        <f t="shared" si="7"/>
        <v>14</v>
      </c>
      <c r="R14" s="63">
        <v>15.6</v>
      </c>
      <c r="S14" s="64">
        <f t="shared" si="8"/>
        <v>25</v>
      </c>
      <c r="T14" s="63">
        <v>1039.4</v>
      </c>
      <c r="U14" s="64">
        <f t="shared" si="9"/>
        <v>26</v>
      </c>
      <c r="V14" s="63">
        <v>160.5</v>
      </c>
      <c r="W14" s="64">
        <f t="shared" si="10"/>
        <v>25</v>
      </c>
      <c r="X14" s="63">
        <v>1170.3</v>
      </c>
      <c r="Y14" s="204" t="s">
        <v>78</v>
      </c>
    </row>
    <row r="15" spans="1:25" ht="12" customHeight="1">
      <c r="A15" s="201" t="s">
        <v>16</v>
      </c>
      <c r="B15" s="202">
        <f t="shared" si="0"/>
        <v>29</v>
      </c>
      <c r="C15" s="63">
        <v>6.8</v>
      </c>
      <c r="D15" s="64">
        <f t="shared" si="1"/>
        <v>31</v>
      </c>
      <c r="E15" s="63">
        <v>0.8</v>
      </c>
      <c r="F15" s="64">
        <f t="shared" si="2"/>
        <v>28</v>
      </c>
      <c r="G15" s="63">
        <v>6</v>
      </c>
      <c r="H15" s="64">
        <f t="shared" si="3"/>
        <v>45</v>
      </c>
      <c r="I15" s="63">
        <v>54.1</v>
      </c>
      <c r="J15" s="64">
        <f t="shared" si="4"/>
        <v>23</v>
      </c>
      <c r="K15" s="63">
        <v>44.9</v>
      </c>
      <c r="L15" s="64">
        <f t="shared" si="5"/>
        <v>39</v>
      </c>
      <c r="M15" s="63">
        <v>1101.4</v>
      </c>
      <c r="N15" s="221"/>
      <c r="O15" s="64">
        <f t="shared" si="6"/>
        <v>32</v>
      </c>
      <c r="P15" s="63">
        <v>258.8</v>
      </c>
      <c r="Q15" s="64">
        <f t="shared" si="7"/>
        <v>32</v>
      </c>
      <c r="R15" s="63">
        <v>10.4</v>
      </c>
      <c r="S15" s="64">
        <f t="shared" si="8"/>
        <v>42</v>
      </c>
      <c r="T15" s="63">
        <v>832.2</v>
      </c>
      <c r="U15" s="64">
        <f t="shared" si="9"/>
        <v>34</v>
      </c>
      <c r="V15" s="63">
        <v>113.2</v>
      </c>
      <c r="W15" s="64">
        <f t="shared" si="10"/>
        <v>38</v>
      </c>
      <c r="X15" s="63">
        <v>903.5</v>
      </c>
      <c r="Y15" s="204" t="s">
        <v>79</v>
      </c>
    </row>
    <row r="16" spans="1:25" ht="12" customHeight="1">
      <c r="A16" s="201" t="s">
        <v>17</v>
      </c>
      <c r="B16" s="202">
        <f t="shared" si="0"/>
        <v>36</v>
      </c>
      <c r="C16" s="63">
        <v>5.8</v>
      </c>
      <c r="D16" s="64">
        <f t="shared" si="1"/>
        <v>26</v>
      </c>
      <c r="E16" s="63">
        <v>0.9</v>
      </c>
      <c r="F16" s="64">
        <f t="shared" si="2"/>
        <v>38</v>
      </c>
      <c r="G16" s="63">
        <v>4.9</v>
      </c>
      <c r="H16" s="64">
        <f t="shared" si="3"/>
        <v>35</v>
      </c>
      <c r="I16" s="63">
        <v>67.3</v>
      </c>
      <c r="J16" s="64">
        <f t="shared" si="4"/>
        <v>15</v>
      </c>
      <c r="K16" s="63">
        <v>47.5</v>
      </c>
      <c r="L16" s="64">
        <f t="shared" si="5"/>
        <v>36</v>
      </c>
      <c r="M16" s="63">
        <v>1136.4</v>
      </c>
      <c r="N16" s="221"/>
      <c r="O16" s="64">
        <f t="shared" si="6"/>
        <v>30</v>
      </c>
      <c r="P16" s="63">
        <v>269.3</v>
      </c>
      <c r="Q16" s="64">
        <f t="shared" si="7"/>
        <v>35</v>
      </c>
      <c r="R16" s="63">
        <v>9.4</v>
      </c>
      <c r="S16" s="64">
        <f t="shared" si="8"/>
        <v>38</v>
      </c>
      <c r="T16" s="63">
        <v>857.6</v>
      </c>
      <c r="U16" s="64">
        <f t="shared" si="9"/>
        <v>24</v>
      </c>
      <c r="V16" s="63">
        <v>162.4</v>
      </c>
      <c r="W16" s="64">
        <f t="shared" si="10"/>
        <v>36</v>
      </c>
      <c r="X16" s="63">
        <v>946.1</v>
      </c>
      <c r="Y16" s="204" t="s">
        <v>80</v>
      </c>
    </row>
    <row r="17" spans="1:25" ht="12" customHeight="1">
      <c r="A17" s="201" t="s">
        <v>18</v>
      </c>
      <c r="B17" s="202">
        <f t="shared" si="0"/>
        <v>25</v>
      </c>
      <c r="C17" s="63">
        <v>7.1</v>
      </c>
      <c r="D17" s="64">
        <f t="shared" si="1"/>
        <v>36</v>
      </c>
      <c r="E17" s="63">
        <v>0.6</v>
      </c>
      <c r="F17" s="64">
        <f t="shared" si="2"/>
        <v>24</v>
      </c>
      <c r="G17" s="63">
        <v>6.4</v>
      </c>
      <c r="H17" s="64">
        <f t="shared" si="3"/>
        <v>25</v>
      </c>
      <c r="I17" s="63">
        <v>73.6</v>
      </c>
      <c r="J17" s="64">
        <f t="shared" si="4"/>
        <v>26</v>
      </c>
      <c r="K17" s="63">
        <v>44.4</v>
      </c>
      <c r="L17" s="64">
        <f t="shared" si="5"/>
        <v>30</v>
      </c>
      <c r="M17" s="63">
        <v>1250.5</v>
      </c>
      <c r="N17" s="221"/>
      <c r="O17" s="64">
        <f t="shared" si="6"/>
        <v>31</v>
      </c>
      <c r="P17" s="63">
        <v>264.9</v>
      </c>
      <c r="Q17" s="64">
        <f t="shared" si="7"/>
        <v>44</v>
      </c>
      <c r="R17" s="63">
        <v>6.3</v>
      </c>
      <c r="S17" s="64">
        <f t="shared" si="8"/>
        <v>30</v>
      </c>
      <c r="T17" s="63">
        <v>979.3</v>
      </c>
      <c r="U17" s="64">
        <f t="shared" si="9"/>
        <v>30</v>
      </c>
      <c r="V17" s="63">
        <v>134.6</v>
      </c>
      <c r="W17" s="64">
        <f t="shared" si="10"/>
        <v>31</v>
      </c>
      <c r="X17" s="63">
        <v>1044.9</v>
      </c>
      <c r="Y17" s="204" t="s">
        <v>81</v>
      </c>
    </row>
    <row r="18" spans="1:25" s="200" customFormat="1" ht="24" customHeight="1">
      <c r="A18" s="196" t="s">
        <v>19</v>
      </c>
      <c r="B18" s="197">
        <f t="shared" si="0"/>
        <v>42</v>
      </c>
      <c r="C18" s="61">
        <v>5.2</v>
      </c>
      <c r="D18" s="62">
        <f t="shared" si="1"/>
        <v>36</v>
      </c>
      <c r="E18" s="61">
        <v>0.6</v>
      </c>
      <c r="F18" s="62">
        <f t="shared" si="2"/>
        <v>41</v>
      </c>
      <c r="G18" s="61">
        <v>4.6</v>
      </c>
      <c r="H18" s="62">
        <f t="shared" si="3"/>
        <v>47</v>
      </c>
      <c r="I18" s="61">
        <v>52.2</v>
      </c>
      <c r="J18" s="62">
        <f t="shared" si="4"/>
        <v>29</v>
      </c>
      <c r="K18" s="61">
        <v>44.1</v>
      </c>
      <c r="L18" s="62">
        <f t="shared" si="5"/>
        <v>46</v>
      </c>
      <c r="M18" s="61">
        <v>873.9</v>
      </c>
      <c r="N18" s="220"/>
      <c r="O18" s="62">
        <f t="shared" si="6"/>
        <v>45</v>
      </c>
      <c r="P18" s="61">
        <v>182.8</v>
      </c>
      <c r="Q18" s="62">
        <f t="shared" si="7"/>
        <v>46</v>
      </c>
      <c r="R18" s="61">
        <v>5.5</v>
      </c>
      <c r="S18" s="62">
        <f t="shared" si="8"/>
        <v>47</v>
      </c>
      <c r="T18" s="61">
        <v>685.5</v>
      </c>
      <c r="U18" s="62">
        <f t="shared" si="9"/>
        <v>45</v>
      </c>
      <c r="V18" s="61">
        <v>63.8</v>
      </c>
      <c r="W18" s="62">
        <f t="shared" si="10"/>
        <v>46</v>
      </c>
      <c r="X18" s="61">
        <v>741.2</v>
      </c>
      <c r="Y18" s="199" t="s">
        <v>82</v>
      </c>
    </row>
    <row r="19" spans="1:25" ht="12" customHeight="1">
      <c r="A19" s="201" t="s">
        <v>20</v>
      </c>
      <c r="B19" s="202">
        <f t="shared" si="0"/>
        <v>44</v>
      </c>
      <c r="C19" s="63">
        <v>4.9</v>
      </c>
      <c r="D19" s="64">
        <f t="shared" si="1"/>
        <v>36</v>
      </c>
      <c r="E19" s="63">
        <v>0.6</v>
      </c>
      <c r="F19" s="64">
        <f t="shared" si="2"/>
        <v>44</v>
      </c>
      <c r="G19" s="63">
        <v>4.3</v>
      </c>
      <c r="H19" s="64">
        <f t="shared" si="3"/>
        <v>43</v>
      </c>
      <c r="I19" s="63">
        <v>59.5</v>
      </c>
      <c r="J19" s="64">
        <f t="shared" si="4"/>
        <v>12</v>
      </c>
      <c r="K19" s="63">
        <v>49.5</v>
      </c>
      <c r="L19" s="64">
        <f t="shared" si="5"/>
        <v>45</v>
      </c>
      <c r="M19" s="63">
        <v>937.3</v>
      </c>
      <c r="N19" s="221"/>
      <c r="O19" s="64">
        <f t="shared" si="6"/>
        <v>38</v>
      </c>
      <c r="P19" s="63">
        <v>219.9</v>
      </c>
      <c r="Q19" s="64">
        <f t="shared" si="7"/>
        <v>38</v>
      </c>
      <c r="R19" s="63">
        <v>8.9</v>
      </c>
      <c r="S19" s="64">
        <f t="shared" si="8"/>
        <v>45</v>
      </c>
      <c r="T19" s="63">
        <v>708.5</v>
      </c>
      <c r="U19" s="64">
        <f t="shared" si="9"/>
        <v>39</v>
      </c>
      <c r="V19" s="63">
        <v>81.1</v>
      </c>
      <c r="W19" s="64">
        <f t="shared" si="10"/>
        <v>45</v>
      </c>
      <c r="X19" s="63">
        <v>777.9</v>
      </c>
      <c r="Y19" s="204" t="s">
        <v>83</v>
      </c>
    </row>
    <row r="20" spans="1:25" ht="12" customHeight="1">
      <c r="A20" s="201" t="s">
        <v>21</v>
      </c>
      <c r="B20" s="202">
        <f t="shared" si="0"/>
        <v>39</v>
      </c>
      <c r="C20" s="63">
        <v>5.4</v>
      </c>
      <c r="D20" s="64">
        <f t="shared" si="1"/>
        <v>41</v>
      </c>
      <c r="E20" s="63">
        <v>0.5</v>
      </c>
      <c r="F20" s="64">
        <f t="shared" si="2"/>
        <v>36</v>
      </c>
      <c r="G20" s="63">
        <v>5</v>
      </c>
      <c r="H20" s="64">
        <f t="shared" si="3"/>
        <v>3</v>
      </c>
      <c r="I20" s="63">
        <v>98</v>
      </c>
      <c r="J20" s="64">
        <f t="shared" si="4"/>
        <v>1</v>
      </c>
      <c r="K20" s="63">
        <v>84.1</v>
      </c>
      <c r="L20" s="64">
        <f t="shared" si="5"/>
        <v>41</v>
      </c>
      <c r="M20" s="63">
        <v>1050</v>
      </c>
      <c r="N20" s="221"/>
      <c r="O20" s="64">
        <f t="shared" si="6"/>
        <v>40</v>
      </c>
      <c r="P20" s="63">
        <v>207.6</v>
      </c>
      <c r="Q20" s="64">
        <f t="shared" si="7"/>
        <v>36</v>
      </c>
      <c r="R20" s="63">
        <v>9</v>
      </c>
      <c r="S20" s="64">
        <f t="shared" si="8"/>
        <v>41</v>
      </c>
      <c r="T20" s="63">
        <v>833.4</v>
      </c>
      <c r="U20" s="64">
        <f t="shared" si="9"/>
        <v>42</v>
      </c>
      <c r="V20" s="63">
        <v>65.6</v>
      </c>
      <c r="W20" s="64">
        <f t="shared" si="10"/>
        <v>42</v>
      </c>
      <c r="X20" s="63">
        <v>864.5</v>
      </c>
      <c r="Y20" s="204" t="s">
        <v>84</v>
      </c>
    </row>
    <row r="21" spans="1:25" ht="12" customHeight="1">
      <c r="A21" s="201" t="s">
        <v>22</v>
      </c>
      <c r="B21" s="202">
        <f t="shared" si="0"/>
        <v>47</v>
      </c>
      <c r="C21" s="63">
        <v>4.1</v>
      </c>
      <c r="D21" s="64">
        <f t="shared" si="1"/>
        <v>41</v>
      </c>
      <c r="E21" s="63">
        <v>0.5</v>
      </c>
      <c r="F21" s="64">
        <f t="shared" si="2"/>
        <v>47</v>
      </c>
      <c r="G21" s="63">
        <v>3.6</v>
      </c>
      <c r="H21" s="64">
        <f t="shared" si="3"/>
        <v>33</v>
      </c>
      <c r="I21" s="63">
        <v>67.5</v>
      </c>
      <c r="J21" s="64">
        <f t="shared" si="4"/>
        <v>6</v>
      </c>
      <c r="K21" s="63">
        <v>52.3</v>
      </c>
      <c r="L21" s="64">
        <f t="shared" si="5"/>
        <v>47</v>
      </c>
      <c r="M21" s="63">
        <v>862.7</v>
      </c>
      <c r="N21" s="221"/>
      <c r="O21" s="64">
        <f t="shared" si="6"/>
        <v>46</v>
      </c>
      <c r="P21" s="63">
        <v>165.2</v>
      </c>
      <c r="Q21" s="64">
        <f t="shared" si="7"/>
        <v>43</v>
      </c>
      <c r="R21" s="63">
        <v>6.5</v>
      </c>
      <c r="S21" s="64">
        <f t="shared" si="8"/>
        <v>46</v>
      </c>
      <c r="T21" s="63">
        <v>690.9</v>
      </c>
      <c r="U21" s="64">
        <f t="shared" si="9"/>
        <v>46</v>
      </c>
      <c r="V21" s="63">
        <v>54.9</v>
      </c>
      <c r="W21" s="64">
        <f t="shared" si="10"/>
        <v>47</v>
      </c>
      <c r="X21" s="63">
        <v>718.2</v>
      </c>
      <c r="Y21" s="204" t="s">
        <v>85</v>
      </c>
    </row>
    <row r="22" spans="1:25" ht="12" customHeight="1">
      <c r="A22" s="201" t="s">
        <v>23</v>
      </c>
      <c r="B22" s="202">
        <f t="shared" si="0"/>
        <v>37</v>
      </c>
      <c r="C22" s="63">
        <v>5.7</v>
      </c>
      <c r="D22" s="64">
        <f t="shared" si="1"/>
        <v>31</v>
      </c>
      <c r="E22" s="63">
        <v>0.8</v>
      </c>
      <c r="F22" s="64">
        <f t="shared" si="2"/>
        <v>38</v>
      </c>
      <c r="G22" s="63">
        <v>4.9</v>
      </c>
      <c r="H22" s="64">
        <f t="shared" si="3"/>
        <v>29</v>
      </c>
      <c r="I22" s="63">
        <v>70</v>
      </c>
      <c r="J22" s="64">
        <f t="shared" si="4"/>
        <v>17</v>
      </c>
      <c r="K22" s="63">
        <v>46.8</v>
      </c>
      <c r="L22" s="64">
        <f t="shared" si="5"/>
        <v>31</v>
      </c>
      <c r="M22" s="63">
        <v>1242.5</v>
      </c>
      <c r="N22" s="221"/>
      <c r="O22" s="64">
        <f t="shared" si="6"/>
        <v>25</v>
      </c>
      <c r="P22" s="63">
        <v>296</v>
      </c>
      <c r="Q22" s="64">
        <f t="shared" si="7"/>
        <v>40</v>
      </c>
      <c r="R22" s="63">
        <v>7.1</v>
      </c>
      <c r="S22" s="64">
        <f t="shared" si="8"/>
        <v>32</v>
      </c>
      <c r="T22" s="63">
        <v>939.4</v>
      </c>
      <c r="U22" s="64">
        <f t="shared" si="9"/>
        <v>40</v>
      </c>
      <c r="V22" s="63">
        <v>70.5</v>
      </c>
      <c r="W22" s="64">
        <f t="shared" si="10"/>
        <v>30</v>
      </c>
      <c r="X22" s="63">
        <v>1070.1</v>
      </c>
      <c r="Y22" s="204" t="s">
        <v>86</v>
      </c>
    </row>
    <row r="23" spans="1:25" s="200" customFormat="1" ht="24" customHeight="1">
      <c r="A23" s="196" t="s">
        <v>24</v>
      </c>
      <c r="B23" s="197">
        <f t="shared" si="0"/>
        <v>12</v>
      </c>
      <c r="C23" s="61">
        <v>10.3</v>
      </c>
      <c r="D23" s="62">
        <f t="shared" si="1"/>
        <v>7</v>
      </c>
      <c r="E23" s="61">
        <v>1.7</v>
      </c>
      <c r="F23" s="62">
        <f t="shared" si="2"/>
        <v>14</v>
      </c>
      <c r="G23" s="61">
        <v>8.6</v>
      </c>
      <c r="H23" s="62">
        <f t="shared" si="3"/>
        <v>28</v>
      </c>
      <c r="I23" s="61">
        <v>70.3</v>
      </c>
      <c r="J23" s="62">
        <f t="shared" si="4"/>
        <v>40</v>
      </c>
      <c r="K23" s="61">
        <v>41.1</v>
      </c>
      <c r="L23" s="62">
        <f t="shared" si="5"/>
        <v>14</v>
      </c>
      <c r="M23" s="61">
        <v>1644.9</v>
      </c>
      <c r="N23" s="220"/>
      <c r="O23" s="62">
        <f t="shared" si="6"/>
        <v>21</v>
      </c>
      <c r="P23" s="61">
        <v>324.7</v>
      </c>
      <c r="Q23" s="62">
        <f t="shared" si="7"/>
        <v>34</v>
      </c>
      <c r="R23" s="61">
        <v>9.6</v>
      </c>
      <c r="S23" s="62">
        <f t="shared" si="8"/>
        <v>10</v>
      </c>
      <c r="T23" s="61">
        <v>1310.7</v>
      </c>
      <c r="U23" s="62">
        <f t="shared" si="9"/>
        <v>28</v>
      </c>
      <c r="V23" s="61">
        <v>146.6</v>
      </c>
      <c r="W23" s="62">
        <f t="shared" si="10"/>
        <v>11</v>
      </c>
      <c r="X23" s="61">
        <v>1484.7</v>
      </c>
      <c r="Y23" s="199" t="s">
        <v>87</v>
      </c>
    </row>
    <row r="24" spans="1:25" ht="12" customHeight="1">
      <c r="A24" s="201" t="s">
        <v>25</v>
      </c>
      <c r="B24" s="202">
        <f t="shared" si="0"/>
        <v>15</v>
      </c>
      <c r="C24" s="63">
        <v>9.7</v>
      </c>
      <c r="D24" s="64">
        <f t="shared" si="1"/>
        <v>15</v>
      </c>
      <c r="E24" s="63">
        <v>1.1</v>
      </c>
      <c r="F24" s="64">
        <f t="shared" si="2"/>
        <v>14</v>
      </c>
      <c r="G24" s="63">
        <v>8.6</v>
      </c>
      <c r="H24" s="64">
        <f t="shared" si="3"/>
        <v>27</v>
      </c>
      <c r="I24" s="63">
        <v>71</v>
      </c>
      <c r="J24" s="64">
        <f t="shared" si="4"/>
        <v>42</v>
      </c>
      <c r="K24" s="63">
        <v>39.2</v>
      </c>
      <c r="L24" s="64">
        <f t="shared" si="5"/>
        <v>10</v>
      </c>
      <c r="M24" s="63">
        <v>1740.3</v>
      </c>
      <c r="N24" s="221"/>
      <c r="O24" s="64">
        <f t="shared" si="6"/>
        <v>19</v>
      </c>
      <c r="P24" s="63">
        <v>330.4</v>
      </c>
      <c r="Q24" s="64">
        <f t="shared" si="7"/>
        <v>10</v>
      </c>
      <c r="R24" s="63">
        <v>16.3</v>
      </c>
      <c r="S24" s="64">
        <f t="shared" si="8"/>
        <v>7</v>
      </c>
      <c r="T24" s="63">
        <v>1393.5</v>
      </c>
      <c r="U24" s="64">
        <f t="shared" si="9"/>
        <v>22</v>
      </c>
      <c r="V24" s="63">
        <v>173.1</v>
      </c>
      <c r="W24" s="64">
        <f t="shared" si="10"/>
        <v>12</v>
      </c>
      <c r="X24" s="63">
        <v>1471.9</v>
      </c>
      <c r="Y24" s="204" t="s">
        <v>88</v>
      </c>
    </row>
    <row r="25" spans="1:25" ht="12" customHeight="1">
      <c r="A25" s="201" t="s">
        <v>26</v>
      </c>
      <c r="B25" s="202">
        <f t="shared" si="0"/>
        <v>10</v>
      </c>
      <c r="C25" s="63">
        <v>11</v>
      </c>
      <c r="D25" s="64">
        <f t="shared" si="1"/>
        <v>12</v>
      </c>
      <c r="E25" s="63">
        <v>1.2</v>
      </c>
      <c r="F25" s="64">
        <f t="shared" si="2"/>
        <v>9</v>
      </c>
      <c r="G25" s="63">
        <v>9.8</v>
      </c>
      <c r="H25" s="64">
        <f t="shared" si="3"/>
        <v>34</v>
      </c>
      <c r="I25" s="63">
        <v>67.4</v>
      </c>
      <c r="J25" s="64">
        <f t="shared" si="4"/>
        <v>47</v>
      </c>
      <c r="K25" s="63">
        <v>33.3</v>
      </c>
      <c r="L25" s="64">
        <f t="shared" si="5"/>
        <v>20</v>
      </c>
      <c r="M25" s="63">
        <v>1476.7</v>
      </c>
      <c r="N25" s="221"/>
      <c r="O25" s="64">
        <f t="shared" si="6"/>
        <v>27</v>
      </c>
      <c r="P25" s="63">
        <v>290.8</v>
      </c>
      <c r="Q25" s="64">
        <f t="shared" si="7"/>
        <v>12</v>
      </c>
      <c r="R25" s="63">
        <v>15.7</v>
      </c>
      <c r="S25" s="64">
        <f t="shared" si="8"/>
        <v>17</v>
      </c>
      <c r="T25" s="63">
        <v>1170.2</v>
      </c>
      <c r="U25" s="64">
        <f t="shared" si="9"/>
        <v>12</v>
      </c>
      <c r="V25" s="63">
        <v>253.3</v>
      </c>
      <c r="W25" s="64">
        <f t="shared" si="10"/>
        <v>22</v>
      </c>
      <c r="X25" s="63">
        <v>1265</v>
      </c>
      <c r="Y25" s="204" t="s">
        <v>78</v>
      </c>
    </row>
    <row r="26" spans="1:25" ht="12" customHeight="1">
      <c r="A26" s="201" t="s">
        <v>27</v>
      </c>
      <c r="B26" s="202">
        <f t="shared" si="0"/>
        <v>25</v>
      </c>
      <c r="C26" s="63">
        <v>7.1</v>
      </c>
      <c r="D26" s="64">
        <f t="shared" si="1"/>
        <v>26</v>
      </c>
      <c r="E26" s="63">
        <v>0.9</v>
      </c>
      <c r="F26" s="64">
        <f t="shared" si="2"/>
        <v>26</v>
      </c>
      <c r="G26" s="63">
        <v>6.2</v>
      </c>
      <c r="H26" s="64">
        <f t="shared" si="3"/>
        <v>26</v>
      </c>
      <c r="I26" s="63">
        <v>71.3</v>
      </c>
      <c r="J26" s="64">
        <f t="shared" si="4"/>
        <v>16</v>
      </c>
      <c r="K26" s="63">
        <v>47.2</v>
      </c>
      <c r="L26" s="64">
        <f t="shared" si="5"/>
        <v>28</v>
      </c>
      <c r="M26" s="63">
        <v>1329.3</v>
      </c>
      <c r="N26" s="221"/>
      <c r="O26" s="64">
        <f t="shared" si="6"/>
        <v>26</v>
      </c>
      <c r="P26" s="63">
        <v>293.9</v>
      </c>
      <c r="Q26" s="64">
        <f t="shared" si="7"/>
        <v>26</v>
      </c>
      <c r="R26" s="63">
        <v>12.4</v>
      </c>
      <c r="S26" s="64">
        <f t="shared" si="8"/>
        <v>27</v>
      </c>
      <c r="T26" s="63">
        <v>1023.1</v>
      </c>
      <c r="U26" s="64">
        <f t="shared" si="9"/>
        <v>31</v>
      </c>
      <c r="V26" s="63">
        <v>131.3</v>
      </c>
      <c r="W26" s="64">
        <f t="shared" si="10"/>
        <v>29</v>
      </c>
      <c r="X26" s="63">
        <v>1077.1</v>
      </c>
      <c r="Y26" s="204" t="s">
        <v>77</v>
      </c>
    </row>
    <row r="27" spans="1:25" ht="12" customHeight="1">
      <c r="A27" s="201" t="s">
        <v>28</v>
      </c>
      <c r="B27" s="202">
        <f t="shared" si="0"/>
        <v>31</v>
      </c>
      <c r="C27" s="63">
        <v>6.3</v>
      </c>
      <c r="D27" s="64">
        <f t="shared" si="1"/>
        <v>34</v>
      </c>
      <c r="E27" s="63">
        <v>0.7</v>
      </c>
      <c r="F27" s="64">
        <f t="shared" si="2"/>
        <v>32</v>
      </c>
      <c r="G27" s="63">
        <v>5.6</v>
      </c>
      <c r="H27" s="64">
        <f t="shared" si="3"/>
        <v>38</v>
      </c>
      <c r="I27" s="63">
        <v>66.2</v>
      </c>
      <c r="J27" s="64">
        <f t="shared" si="4"/>
        <v>26</v>
      </c>
      <c r="K27" s="63">
        <v>44.4</v>
      </c>
      <c r="L27" s="64">
        <f t="shared" si="5"/>
        <v>37</v>
      </c>
      <c r="M27" s="63">
        <v>1125.4</v>
      </c>
      <c r="N27" s="221"/>
      <c r="O27" s="64">
        <f t="shared" si="6"/>
        <v>35</v>
      </c>
      <c r="P27" s="63">
        <v>244.5</v>
      </c>
      <c r="Q27" s="64">
        <f t="shared" si="7"/>
        <v>45</v>
      </c>
      <c r="R27" s="63">
        <v>6</v>
      </c>
      <c r="S27" s="64">
        <f t="shared" si="8"/>
        <v>36</v>
      </c>
      <c r="T27" s="63">
        <v>874.9</v>
      </c>
      <c r="U27" s="64">
        <f t="shared" si="9"/>
        <v>36</v>
      </c>
      <c r="V27" s="63">
        <v>102.7</v>
      </c>
      <c r="W27" s="64">
        <f t="shared" si="10"/>
        <v>35</v>
      </c>
      <c r="X27" s="63">
        <v>952.2</v>
      </c>
      <c r="Y27" s="204" t="s">
        <v>89</v>
      </c>
    </row>
    <row r="28" spans="1:25" s="200" customFormat="1" ht="24" customHeight="1">
      <c r="A28" s="196" t="s">
        <v>29</v>
      </c>
      <c r="B28" s="197">
        <f t="shared" si="0"/>
        <v>39</v>
      </c>
      <c r="C28" s="61">
        <v>5.4</v>
      </c>
      <c r="D28" s="62">
        <f t="shared" si="1"/>
        <v>36</v>
      </c>
      <c r="E28" s="61">
        <v>0.6</v>
      </c>
      <c r="F28" s="62">
        <f t="shared" si="2"/>
        <v>40</v>
      </c>
      <c r="G28" s="61">
        <v>4.7</v>
      </c>
      <c r="H28" s="62">
        <f t="shared" si="3"/>
        <v>31</v>
      </c>
      <c r="I28" s="61">
        <v>68.6</v>
      </c>
      <c r="J28" s="62">
        <f t="shared" si="4"/>
        <v>34</v>
      </c>
      <c r="K28" s="61">
        <v>42.9</v>
      </c>
      <c r="L28" s="62">
        <f t="shared" si="5"/>
        <v>43</v>
      </c>
      <c r="M28" s="61">
        <v>996.9</v>
      </c>
      <c r="N28" s="220"/>
      <c r="O28" s="62">
        <f t="shared" si="6"/>
        <v>41</v>
      </c>
      <c r="P28" s="61">
        <v>207.2</v>
      </c>
      <c r="Q28" s="62">
        <f t="shared" si="7"/>
        <v>23</v>
      </c>
      <c r="R28" s="61">
        <v>13.9</v>
      </c>
      <c r="S28" s="62">
        <f t="shared" si="8"/>
        <v>44</v>
      </c>
      <c r="T28" s="61">
        <v>775.8</v>
      </c>
      <c r="U28" s="62">
        <f t="shared" si="9"/>
        <v>29</v>
      </c>
      <c r="V28" s="61">
        <v>139.6</v>
      </c>
      <c r="W28" s="62">
        <f t="shared" si="10"/>
        <v>44</v>
      </c>
      <c r="X28" s="61">
        <v>832</v>
      </c>
      <c r="Y28" s="199" t="s">
        <v>90</v>
      </c>
    </row>
    <row r="29" spans="1:25" ht="12" customHeight="1">
      <c r="A29" s="201" t="s">
        <v>30</v>
      </c>
      <c r="B29" s="202">
        <f t="shared" si="0"/>
        <v>44</v>
      </c>
      <c r="C29" s="63">
        <v>4.9</v>
      </c>
      <c r="D29" s="64">
        <f t="shared" si="1"/>
        <v>31</v>
      </c>
      <c r="E29" s="63">
        <v>0.8</v>
      </c>
      <c r="F29" s="64">
        <f t="shared" si="2"/>
        <v>46</v>
      </c>
      <c r="G29" s="63">
        <v>4</v>
      </c>
      <c r="H29" s="64">
        <f t="shared" si="3"/>
        <v>32</v>
      </c>
      <c r="I29" s="63">
        <v>68.5</v>
      </c>
      <c r="J29" s="64">
        <f t="shared" si="4"/>
        <v>21</v>
      </c>
      <c r="K29" s="63">
        <v>45</v>
      </c>
      <c r="L29" s="64">
        <f t="shared" si="5"/>
        <v>40</v>
      </c>
      <c r="M29" s="63">
        <v>1058.1</v>
      </c>
      <c r="N29" s="221"/>
      <c r="O29" s="64">
        <f t="shared" si="6"/>
        <v>43</v>
      </c>
      <c r="P29" s="63">
        <v>195.6</v>
      </c>
      <c r="Q29" s="64">
        <f t="shared" si="7"/>
        <v>41</v>
      </c>
      <c r="R29" s="63">
        <v>6.9</v>
      </c>
      <c r="S29" s="64">
        <f t="shared" si="8"/>
        <v>39</v>
      </c>
      <c r="T29" s="63">
        <v>855.6</v>
      </c>
      <c r="U29" s="64">
        <f t="shared" si="9"/>
        <v>35</v>
      </c>
      <c r="V29" s="63">
        <v>105.8</v>
      </c>
      <c r="W29" s="64">
        <f t="shared" si="10"/>
        <v>41</v>
      </c>
      <c r="X29" s="63">
        <v>876.1</v>
      </c>
      <c r="Y29" s="204" t="s">
        <v>91</v>
      </c>
    </row>
    <row r="30" spans="1:25" ht="12" customHeight="1">
      <c r="A30" s="201" t="s">
        <v>31</v>
      </c>
      <c r="B30" s="202">
        <f t="shared" si="0"/>
        <v>43</v>
      </c>
      <c r="C30" s="63">
        <v>5</v>
      </c>
      <c r="D30" s="64">
        <f t="shared" si="1"/>
        <v>41</v>
      </c>
      <c r="E30" s="63">
        <v>0.5</v>
      </c>
      <c r="F30" s="64">
        <f t="shared" si="2"/>
        <v>42</v>
      </c>
      <c r="G30" s="63">
        <v>4.5</v>
      </c>
      <c r="H30" s="64">
        <f t="shared" si="3"/>
        <v>41</v>
      </c>
      <c r="I30" s="63">
        <v>64.7</v>
      </c>
      <c r="J30" s="64">
        <f t="shared" si="4"/>
        <v>14</v>
      </c>
      <c r="K30" s="63">
        <v>48.7</v>
      </c>
      <c r="L30" s="64">
        <f t="shared" si="5"/>
        <v>44</v>
      </c>
      <c r="M30" s="63">
        <v>975.1</v>
      </c>
      <c r="N30" s="221"/>
      <c r="O30" s="64">
        <f t="shared" si="6"/>
        <v>44</v>
      </c>
      <c r="P30" s="63">
        <v>192.5</v>
      </c>
      <c r="Q30" s="64">
        <f t="shared" si="7"/>
        <v>42</v>
      </c>
      <c r="R30" s="63">
        <v>6.6</v>
      </c>
      <c r="S30" s="64">
        <f t="shared" si="8"/>
        <v>43</v>
      </c>
      <c r="T30" s="63">
        <v>775.9</v>
      </c>
      <c r="U30" s="64">
        <f t="shared" si="9"/>
        <v>37</v>
      </c>
      <c r="V30" s="63">
        <v>98.5</v>
      </c>
      <c r="W30" s="64">
        <f t="shared" si="10"/>
        <v>43</v>
      </c>
      <c r="X30" s="63">
        <v>835.7</v>
      </c>
      <c r="Y30" s="204" t="s">
        <v>92</v>
      </c>
    </row>
    <row r="31" spans="1:25" ht="12" customHeight="1">
      <c r="A31" s="201" t="s">
        <v>32</v>
      </c>
      <c r="B31" s="202">
        <f t="shared" si="0"/>
        <v>34</v>
      </c>
      <c r="C31" s="63">
        <v>6.2</v>
      </c>
      <c r="D31" s="64">
        <f t="shared" si="1"/>
        <v>34</v>
      </c>
      <c r="E31" s="63">
        <v>0.7</v>
      </c>
      <c r="F31" s="64">
        <f t="shared" si="2"/>
        <v>34</v>
      </c>
      <c r="G31" s="63">
        <v>5.5</v>
      </c>
      <c r="H31" s="64">
        <f t="shared" si="3"/>
        <v>21</v>
      </c>
      <c r="I31" s="63">
        <v>74.9</v>
      </c>
      <c r="J31" s="64">
        <f t="shared" si="4"/>
        <v>19</v>
      </c>
      <c r="K31" s="63">
        <v>45.4</v>
      </c>
      <c r="L31" s="64">
        <f t="shared" si="5"/>
        <v>34</v>
      </c>
      <c r="M31" s="63">
        <v>1151.7</v>
      </c>
      <c r="N31" s="221"/>
      <c r="O31" s="64">
        <f t="shared" si="6"/>
        <v>29</v>
      </c>
      <c r="P31" s="63">
        <v>276.5</v>
      </c>
      <c r="Q31" s="64">
        <f t="shared" si="7"/>
        <v>31</v>
      </c>
      <c r="R31" s="63">
        <v>10.5</v>
      </c>
      <c r="S31" s="64">
        <f t="shared" si="8"/>
        <v>37</v>
      </c>
      <c r="T31" s="63">
        <v>864.7</v>
      </c>
      <c r="U31" s="64">
        <f t="shared" si="9"/>
        <v>32</v>
      </c>
      <c r="V31" s="63">
        <v>130.5</v>
      </c>
      <c r="W31" s="64">
        <f t="shared" si="10"/>
        <v>33</v>
      </c>
      <c r="X31" s="63">
        <v>992.2</v>
      </c>
      <c r="Y31" s="204" t="s">
        <v>93</v>
      </c>
    </row>
    <row r="32" spans="1:25" ht="12" customHeight="1">
      <c r="A32" s="201" t="s">
        <v>33</v>
      </c>
      <c r="B32" s="202">
        <f t="shared" si="0"/>
        <v>46</v>
      </c>
      <c r="C32" s="63">
        <v>4.6</v>
      </c>
      <c r="D32" s="64">
        <f t="shared" si="1"/>
        <v>41</v>
      </c>
      <c r="E32" s="63">
        <v>0.5</v>
      </c>
      <c r="F32" s="64">
        <f t="shared" si="2"/>
        <v>45</v>
      </c>
      <c r="G32" s="63">
        <v>4.1</v>
      </c>
      <c r="H32" s="64">
        <f t="shared" si="3"/>
        <v>40</v>
      </c>
      <c r="I32" s="63">
        <v>65.1</v>
      </c>
      <c r="J32" s="64">
        <f t="shared" si="4"/>
        <v>44</v>
      </c>
      <c r="K32" s="63">
        <v>38.7</v>
      </c>
      <c r="L32" s="64">
        <f t="shared" si="5"/>
        <v>42</v>
      </c>
      <c r="M32" s="63">
        <v>1048.9</v>
      </c>
      <c r="N32" s="221"/>
      <c r="O32" s="64">
        <f t="shared" si="6"/>
        <v>47</v>
      </c>
      <c r="P32" s="63">
        <v>158.5</v>
      </c>
      <c r="Q32" s="64">
        <f t="shared" si="7"/>
        <v>33</v>
      </c>
      <c r="R32" s="63">
        <v>9.7</v>
      </c>
      <c r="S32" s="64">
        <f t="shared" si="8"/>
        <v>35</v>
      </c>
      <c r="T32" s="63">
        <v>880.7</v>
      </c>
      <c r="U32" s="64">
        <f t="shared" si="9"/>
        <v>47</v>
      </c>
      <c r="V32" s="63">
        <v>50.6</v>
      </c>
      <c r="W32" s="64">
        <f t="shared" si="10"/>
        <v>40</v>
      </c>
      <c r="X32" s="63">
        <v>877.7</v>
      </c>
      <c r="Y32" s="204" t="s">
        <v>94</v>
      </c>
    </row>
    <row r="33" spans="1:25" s="200" customFormat="1" ht="24" customHeight="1">
      <c r="A33" s="196" t="s">
        <v>34</v>
      </c>
      <c r="B33" s="197">
        <f t="shared" si="0"/>
        <v>29</v>
      </c>
      <c r="C33" s="61">
        <v>6.8</v>
      </c>
      <c r="D33" s="62">
        <f t="shared" si="1"/>
        <v>41</v>
      </c>
      <c r="E33" s="61">
        <v>0.5</v>
      </c>
      <c r="F33" s="62">
        <f t="shared" si="2"/>
        <v>25</v>
      </c>
      <c r="G33" s="61">
        <v>6.3</v>
      </c>
      <c r="H33" s="62">
        <f t="shared" si="3"/>
        <v>6</v>
      </c>
      <c r="I33" s="61">
        <v>94.9</v>
      </c>
      <c r="J33" s="62">
        <f t="shared" si="4"/>
        <v>12</v>
      </c>
      <c r="K33" s="61">
        <v>49.5</v>
      </c>
      <c r="L33" s="62">
        <f t="shared" si="5"/>
        <v>25</v>
      </c>
      <c r="M33" s="61">
        <v>1389</v>
      </c>
      <c r="N33" s="220"/>
      <c r="O33" s="62">
        <f t="shared" si="6"/>
        <v>33</v>
      </c>
      <c r="P33" s="61">
        <v>252.6</v>
      </c>
      <c r="Q33" s="62">
        <f t="shared" si="7"/>
        <v>17</v>
      </c>
      <c r="R33" s="61">
        <v>14.7</v>
      </c>
      <c r="S33" s="62">
        <f t="shared" si="8"/>
        <v>20</v>
      </c>
      <c r="T33" s="61">
        <v>1121.7</v>
      </c>
      <c r="U33" s="62">
        <f t="shared" si="9"/>
        <v>44</v>
      </c>
      <c r="V33" s="61">
        <v>63.9</v>
      </c>
      <c r="W33" s="62">
        <f t="shared" si="10"/>
        <v>24</v>
      </c>
      <c r="X33" s="61">
        <v>1176.2</v>
      </c>
      <c r="Y33" s="199" t="s">
        <v>95</v>
      </c>
    </row>
    <row r="34" spans="1:25" ht="12" customHeight="1">
      <c r="A34" s="201" t="s">
        <v>35</v>
      </c>
      <c r="B34" s="202">
        <f t="shared" si="0"/>
        <v>31</v>
      </c>
      <c r="C34" s="63">
        <v>6.3</v>
      </c>
      <c r="D34" s="64">
        <f t="shared" si="1"/>
        <v>41</v>
      </c>
      <c r="E34" s="63">
        <v>0.5</v>
      </c>
      <c r="F34" s="64">
        <f t="shared" si="2"/>
        <v>30</v>
      </c>
      <c r="G34" s="63">
        <v>5.8</v>
      </c>
      <c r="H34" s="64">
        <f t="shared" si="3"/>
        <v>7</v>
      </c>
      <c r="I34" s="63">
        <v>90.9</v>
      </c>
      <c r="J34" s="64">
        <f t="shared" si="4"/>
        <v>2</v>
      </c>
      <c r="K34" s="63">
        <v>59.5</v>
      </c>
      <c r="L34" s="64">
        <f t="shared" si="5"/>
        <v>29</v>
      </c>
      <c r="M34" s="63">
        <v>1264.2</v>
      </c>
      <c r="N34" s="221"/>
      <c r="O34" s="64">
        <f t="shared" si="6"/>
        <v>37</v>
      </c>
      <c r="P34" s="63">
        <v>229.4</v>
      </c>
      <c r="Q34" s="64">
        <f t="shared" si="7"/>
        <v>9</v>
      </c>
      <c r="R34" s="63">
        <v>17.3</v>
      </c>
      <c r="S34" s="64">
        <f t="shared" si="8"/>
        <v>28</v>
      </c>
      <c r="T34" s="63">
        <v>1017.5</v>
      </c>
      <c r="U34" s="64">
        <f t="shared" si="9"/>
        <v>43</v>
      </c>
      <c r="V34" s="63">
        <v>64</v>
      </c>
      <c r="W34" s="64">
        <f t="shared" si="10"/>
        <v>28</v>
      </c>
      <c r="X34" s="63">
        <v>1087.4</v>
      </c>
      <c r="Y34" s="204" t="s">
        <v>96</v>
      </c>
    </row>
    <row r="35" spans="1:25" ht="12" customHeight="1">
      <c r="A35" s="201" t="s">
        <v>36</v>
      </c>
      <c r="B35" s="202">
        <f t="shared" si="0"/>
        <v>31</v>
      </c>
      <c r="C35" s="63">
        <v>6.3</v>
      </c>
      <c r="D35" s="64">
        <f t="shared" si="1"/>
        <v>36</v>
      </c>
      <c r="E35" s="63">
        <v>0.6</v>
      </c>
      <c r="F35" s="64">
        <f t="shared" si="2"/>
        <v>30</v>
      </c>
      <c r="G35" s="63">
        <v>5.8</v>
      </c>
      <c r="H35" s="64">
        <f t="shared" si="3"/>
        <v>12</v>
      </c>
      <c r="I35" s="63">
        <v>84.4</v>
      </c>
      <c r="J35" s="64">
        <f t="shared" si="4"/>
        <v>9</v>
      </c>
      <c r="K35" s="63">
        <v>51</v>
      </c>
      <c r="L35" s="64">
        <f t="shared" si="5"/>
        <v>33</v>
      </c>
      <c r="M35" s="63">
        <v>1168.2</v>
      </c>
      <c r="N35" s="221"/>
      <c r="O35" s="64">
        <f t="shared" si="6"/>
        <v>39</v>
      </c>
      <c r="P35" s="63">
        <v>213.9</v>
      </c>
      <c r="Q35" s="64">
        <f t="shared" si="7"/>
        <v>36</v>
      </c>
      <c r="R35" s="63">
        <v>9</v>
      </c>
      <c r="S35" s="64">
        <f t="shared" si="8"/>
        <v>31</v>
      </c>
      <c r="T35" s="63">
        <v>945.3</v>
      </c>
      <c r="U35" s="64">
        <f t="shared" si="9"/>
        <v>38</v>
      </c>
      <c r="V35" s="63">
        <v>89.3</v>
      </c>
      <c r="W35" s="64">
        <f t="shared" si="10"/>
        <v>34</v>
      </c>
      <c r="X35" s="63">
        <v>981.4</v>
      </c>
      <c r="Y35" s="204" t="s">
        <v>97</v>
      </c>
    </row>
    <row r="36" spans="1:25" ht="12" customHeight="1">
      <c r="A36" s="201" t="s">
        <v>37</v>
      </c>
      <c r="B36" s="202">
        <f t="shared" si="0"/>
        <v>39</v>
      </c>
      <c r="C36" s="63">
        <v>5.4</v>
      </c>
      <c r="D36" s="64">
        <f t="shared" si="1"/>
        <v>47</v>
      </c>
      <c r="E36" s="63">
        <v>0.3</v>
      </c>
      <c r="F36" s="64">
        <f t="shared" si="2"/>
        <v>36</v>
      </c>
      <c r="G36" s="63">
        <v>5</v>
      </c>
      <c r="H36" s="64">
        <f t="shared" si="3"/>
        <v>23</v>
      </c>
      <c r="I36" s="63">
        <v>74</v>
      </c>
      <c r="J36" s="64">
        <f t="shared" si="4"/>
        <v>17</v>
      </c>
      <c r="K36" s="63">
        <v>46.8</v>
      </c>
      <c r="L36" s="64">
        <f t="shared" si="5"/>
        <v>35</v>
      </c>
      <c r="M36" s="63">
        <v>1140.3</v>
      </c>
      <c r="N36" s="221"/>
      <c r="O36" s="64">
        <f t="shared" si="6"/>
        <v>42</v>
      </c>
      <c r="P36" s="63">
        <v>204.5</v>
      </c>
      <c r="Q36" s="64">
        <f t="shared" si="7"/>
        <v>28</v>
      </c>
      <c r="R36" s="63">
        <v>11.8</v>
      </c>
      <c r="S36" s="64">
        <f t="shared" si="8"/>
        <v>33</v>
      </c>
      <c r="T36" s="63">
        <v>924.1</v>
      </c>
      <c r="U36" s="64">
        <f t="shared" si="9"/>
        <v>41</v>
      </c>
      <c r="V36" s="63">
        <v>69.1</v>
      </c>
      <c r="W36" s="64">
        <f t="shared" si="10"/>
        <v>37</v>
      </c>
      <c r="X36" s="63">
        <v>932.5</v>
      </c>
      <c r="Y36" s="204" t="s">
        <v>98</v>
      </c>
    </row>
    <row r="37" spans="1:25" ht="12" customHeight="1">
      <c r="A37" s="201" t="s">
        <v>38</v>
      </c>
      <c r="B37" s="202">
        <f t="shared" si="0"/>
        <v>19</v>
      </c>
      <c r="C37" s="63">
        <v>8.8</v>
      </c>
      <c r="D37" s="64">
        <f t="shared" si="1"/>
        <v>26</v>
      </c>
      <c r="E37" s="63">
        <v>0.9</v>
      </c>
      <c r="F37" s="64">
        <f t="shared" si="2"/>
        <v>19</v>
      </c>
      <c r="G37" s="63">
        <v>7.9</v>
      </c>
      <c r="H37" s="64">
        <f t="shared" si="3"/>
        <v>1</v>
      </c>
      <c r="I37" s="63">
        <v>102</v>
      </c>
      <c r="J37" s="64">
        <f t="shared" si="4"/>
        <v>5</v>
      </c>
      <c r="K37" s="63">
        <v>52.8</v>
      </c>
      <c r="L37" s="64">
        <f t="shared" si="5"/>
        <v>26</v>
      </c>
      <c r="M37" s="63">
        <v>1386.4</v>
      </c>
      <c r="N37" s="221"/>
      <c r="O37" s="64">
        <f t="shared" si="6"/>
        <v>34</v>
      </c>
      <c r="P37" s="63">
        <v>245.7</v>
      </c>
      <c r="Q37" s="64">
        <f t="shared" si="7"/>
        <v>2</v>
      </c>
      <c r="R37" s="63">
        <v>26.8</v>
      </c>
      <c r="S37" s="64">
        <f t="shared" si="8"/>
        <v>21</v>
      </c>
      <c r="T37" s="63">
        <v>1113.8</v>
      </c>
      <c r="U37" s="64">
        <f t="shared" si="9"/>
        <v>16</v>
      </c>
      <c r="V37" s="63">
        <v>212.2</v>
      </c>
      <c r="W37" s="64">
        <f t="shared" si="10"/>
        <v>26</v>
      </c>
      <c r="X37" s="63">
        <v>1142.9</v>
      </c>
      <c r="Y37" s="204" t="s">
        <v>99</v>
      </c>
    </row>
    <row r="38" spans="1:25" s="200" customFormat="1" ht="24" customHeight="1">
      <c r="A38" s="196" t="s">
        <v>39</v>
      </c>
      <c r="B38" s="197">
        <f t="shared" si="0"/>
        <v>22</v>
      </c>
      <c r="C38" s="61">
        <v>7.5</v>
      </c>
      <c r="D38" s="62">
        <f t="shared" si="1"/>
        <v>21</v>
      </c>
      <c r="E38" s="61">
        <v>1</v>
      </c>
      <c r="F38" s="62">
        <f t="shared" si="2"/>
        <v>22</v>
      </c>
      <c r="G38" s="61">
        <v>6.5</v>
      </c>
      <c r="H38" s="62">
        <f t="shared" si="3"/>
        <v>9</v>
      </c>
      <c r="I38" s="61">
        <v>90.3</v>
      </c>
      <c r="J38" s="62">
        <f t="shared" si="4"/>
        <v>26</v>
      </c>
      <c r="K38" s="61">
        <v>44.4</v>
      </c>
      <c r="L38" s="62">
        <f t="shared" si="5"/>
        <v>19</v>
      </c>
      <c r="M38" s="61">
        <v>1481.3</v>
      </c>
      <c r="N38" s="220"/>
      <c r="O38" s="62">
        <f t="shared" si="6"/>
        <v>24</v>
      </c>
      <c r="P38" s="61">
        <v>300.2</v>
      </c>
      <c r="Q38" s="62">
        <f t="shared" si="7"/>
        <v>26</v>
      </c>
      <c r="R38" s="61">
        <v>12.4</v>
      </c>
      <c r="S38" s="62">
        <f t="shared" si="8"/>
        <v>18</v>
      </c>
      <c r="T38" s="61">
        <v>1168.7</v>
      </c>
      <c r="U38" s="62">
        <f t="shared" si="9"/>
        <v>17</v>
      </c>
      <c r="V38" s="61">
        <v>207.7</v>
      </c>
      <c r="W38" s="62">
        <f t="shared" si="10"/>
        <v>21</v>
      </c>
      <c r="X38" s="61">
        <v>1288.9</v>
      </c>
      <c r="Y38" s="199" t="s">
        <v>100</v>
      </c>
    </row>
    <row r="39" spans="1:25" ht="12" customHeight="1">
      <c r="A39" s="201" t="s">
        <v>40</v>
      </c>
      <c r="B39" s="202">
        <f t="shared" si="0"/>
        <v>20</v>
      </c>
      <c r="C39" s="63">
        <v>7.8</v>
      </c>
      <c r="D39" s="64">
        <f t="shared" si="1"/>
        <v>15</v>
      </c>
      <c r="E39" s="63">
        <v>1.1</v>
      </c>
      <c r="F39" s="64">
        <f t="shared" si="2"/>
        <v>20</v>
      </c>
      <c r="G39" s="63">
        <v>6.8</v>
      </c>
      <c r="H39" s="64">
        <f t="shared" si="3"/>
        <v>2</v>
      </c>
      <c r="I39" s="63">
        <v>101.3</v>
      </c>
      <c r="J39" s="64">
        <f t="shared" si="4"/>
        <v>45</v>
      </c>
      <c r="K39" s="63">
        <v>38</v>
      </c>
      <c r="L39" s="64">
        <f t="shared" si="5"/>
        <v>17</v>
      </c>
      <c r="M39" s="63">
        <v>1565.5</v>
      </c>
      <c r="N39" s="221"/>
      <c r="O39" s="64">
        <f t="shared" si="6"/>
        <v>16</v>
      </c>
      <c r="P39" s="63">
        <v>353.1</v>
      </c>
      <c r="Q39" s="64">
        <f t="shared" si="7"/>
        <v>4</v>
      </c>
      <c r="R39" s="63">
        <v>21</v>
      </c>
      <c r="S39" s="64">
        <f t="shared" si="8"/>
        <v>16</v>
      </c>
      <c r="T39" s="63">
        <v>1191.3</v>
      </c>
      <c r="U39" s="64">
        <f t="shared" si="9"/>
        <v>21</v>
      </c>
      <c r="V39" s="63">
        <v>175.6</v>
      </c>
      <c r="W39" s="64">
        <f t="shared" si="10"/>
        <v>16</v>
      </c>
      <c r="X39" s="63">
        <v>1369.5</v>
      </c>
      <c r="Y39" s="204" t="s">
        <v>101</v>
      </c>
    </row>
    <row r="40" spans="1:25" ht="12" customHeight="1">
      <c r="A40" s="201" t="s">
        <v>41</v>
      </c>
      <c r="B40" s="202">
        <f t="shared" si="0"/>
        <v>15</v>
      </c>
      <c r="C40" s="63">
        <v>9.7</v>
      </c>
      <c r="D40" s="64">
        <f t="shared" si="1"/>
        <v>21</v>
      </c>
      <c r="E40" s="63">
        <v>1</v>
      </c>
      <c r="F40" s="64">
        <f t="shared" si="2"/>
        <v>13</v>
      </c>
      <c r="G40" s="63">
        <v>8.7</v>
      </c>
      <c r="H40" s="64">
        <f t="shared" si="3"/>
        <v>13</v>
      </c>
      <c r="I40" s="63">
        <v>82.3</v>
      </c>
      <c r="J40" s="64">
        <f t="shared" si="4"/>
        <v>10</v>
      </c>
      <c r="K40" s="63">
        <v>49.7</v>
      </c>
      <c r="L40" s="64">
        <f t="shared" si="5"/>
        <v>15</v>
      </c>
      <c r="M40" s="63">
        <v>1604.7</v>
      </c>
      <c r="N40" s="221"/>
      <c r="O40" s="64">
        <f t="shared" si="6"/>
        <v>23</v>
      </c>
      <c r="P40" s="63">
        <v>307.5</v>
      </c>
      <c r="Q40" s="64">
        <f t="shared" si="7"/>
        <v>6</v>
      </c>
      <c r="R40" s="63">
        <v>19</v>
      </c>
      <c r="S40" s="64">
        <f t="shared" si="8"/>
        <v>11</v>
      </c>
      <c r="T40" s="63">
        <v>1278.2</v>
      </c>
      <c r="U40" s="64">
        <f t="shared" si="9"/>
        <v>19</v>
      </c>
      <c r="V40" s="63">
        <v>198.2</v>
      </c>
      <c r="W40" s="64">
        <f t="shared" si="10"/>
        <v>18</v>
      </c>
      <c r="X40" s="63">
        <v>1299.5</v>
      </c>
      <c r="Y40" s="204" t="s">
        <v>102</v>
      </c>
    </row>
    <row r="41" spans="1:25" ht="12" customHeight="1">
      <c r="A41" s="201" t="s">
        <v>42</v>
      </c>
      <c r="B41" s="202">
        <f t="shared" si="0"/>
        <v>18</v>
      </c>
      <c r="C41" s="63">
        <v>9.2</v>
      </c>
      <c r="D41" s="64">
        <f t="shared" si="1"/>
        <v>21</v>
      </c>
      <c r="E41" s="63">
        <v>1</v>
      </c>
      <c r="F41" s="64">
        <f t="shared" si="2"/>
        <v>17</v>
      </c>
      <c r="G41" s="63">
        <v>8.1</v>
      </c>
      <c r="H41" s="64">
        <f t="shared" si="3"/>
        <v>8</v>
      </c>
      <c r="I41" s="63">
        <v>90.4</v>
      </c>
      <c r="J41" s="64">
        <f t="shared" si="4"/>
        <v>7</v>
      </c>
      <c r="K41" s="63">
        <v>51.5</v>
      </c>
      <c r="L41" s="64">
        <f t="shared" si="5"/>
        <v>22</v>
      </c>
      <c r="M41" s="63">
        <v>1453.7</v>
      </c>
      <c r="N41" s="221"/>
      <c r="O41" s="64">
        <f t="shared" si="6"/>
        <v>18</v>
      </c>
      <c r="P41" s="63">
        <v>331.2</v>
      </c>
      <c r="Q41" s="64">
        <f t="shared" si="7"/>
        <v>30</v>
      </c>
      <c r="R41" s="63">
        <v>10.6</v>
      </c>
      <c r="S41" s="64">
        <f t="shared" si="8"/>
        <v>22</v>
      </c>
      <c r="T41" s="63">
        <v>1111.9</v>
      </c>
      <c r="U41" s="64">
        <f t="shared" si="9"/>
        <v>20</v>
      </c>
      <c r="V41" s="63">
        <v>197.7</v>
      </c>
      <c r="W41" s="64">
        <f t="shared" si="10"/>
        <v>20</v>
      </c>
      <c r="X41" s="63">
        <v>1292.3</v>
      </c>
      <c r="Y41" s="204" t="s">
        <v>103</v>
      </c>
    </row>
    <row r="42" spans="1:25" ht="12" customHeight="1">
      <c r="A42" s="201" t="s">
        <v>43</v>
      </c>
      <c r="B42" s="202">
        <f t="shared" si="0"/>
        <v>14</v>
      </c>
      <c r="C42" s="63">
        <v>10.1</v>
      </c>
      <c r="D42" s="64">
        <f t="shared" si="1"/>
        <v>5</v>
      </c>
      <c r="E42" s="63">
        <v>1.9</v>
      </c>
      <c r="F42" s="64">
        <f t="shared" si="2"/>
        <v>17</v>
      </c>
      <c r="G42" s="63">
        <v>8.1</v>
      </c>
      <c r="H42" s="64">
        <f t="shared" si="3"/>
        <v>10</v>
      </c>
      <c r="I42" s="63">
        <v>87.5</v>
      </c>
      <c r="J42" s="64">
        <f t="shared" si="4"/>
        <v>21</v>
      </c>
      <c r="K42" s="63">
        <v>45</v>
      </c>
      <c r="L42" s="64">
        <f t="shared" si="5"/>
        <v>7</v>
      </c>
      <c r="M42" s="63">
        <v>1859.4</v>
      </c>
      <c r="N42" s="221"/>
      <c r="O42" s="64">
        <f t="shared" si="6"/>
        <v>11</v>
      </c>
      <c r="P42" s="63">
        <v>416.5</v>
      </c>
      <c r="Q42" s="64">
        <f t="shared" si="7"/>
        <v>29</v>
      </c>
      <c r="R42" s="63">
        <v>11.2</v>
      </c>
      <c r="S42" s="64">
        <f t="shared" si="8"/>
        <v>5</v>
      </c>
      <c r="T42" s="63">
        <v>1431.8</v>
      </c>
      <c r="U42" s="64">
        <f t="shared" si="9"/>
        <v>15</v>
      </c>
      <c r="V42" s="63">
        <v>236.6</v>
      </c>
      <c r="W42" s="64">
        <f t="shared" si="10"/>
        <v>5</v>
      </c>
      <c r="X42" s="63">
        <v>1697.6</v>
      </c>
      <c r="Y42" s="204" t="s">
        <v>77</v>
      </c>
    </row>
    <row r="43" spans="1:25" s="200" customFormat="1" ht="24" customHeight="1">
      <c r="A43" s="196" t="s">
        <v>44</v>
      </c>
      <c r="B43" s="197">
        <f t="shared" si="0"/>
        <v>3</v>
      </c>
      <c r="C43" s="61">
        <v>15.5</v>
      </c>
      <c r="D43" s="62">
        <f t="shared" si="1"/>
        <v>1</v>
      </c>
      <c r="E43" s="61">
        <v>2.1</v>
      </c>
      <c r="F43" s="62">
        <f t="shared" si="2"/>
        <v>3</v>
      </c>
      <c r="G43" s="61">
        <v>13.5</v>
      </c>
      <c r="H43" s="62">
        <f t="shared" si="3"/>
        <v>4</v>
      </c>
      <c r="I43" s="61">
        <v>95.7</v>
      </c>
      <c r="J43" s="62">
        <f t="shared" si="4"/>
        <v>8</v>
      </c>
      <c r="K43" s="61">
        <v>51.4</v>
      </c>
      <c r="L43" s="62">
        <f t="shared" si="5"/>
        <v>3</v>
      </c>
      <c r="M43" s="61">
        <v>1958</v>
      </c>
      <c r="N43" s="220"/>
      <c r="O43" s="62">
        <f t="shared" si="6"/>
        <v>4</v>
      </c>
      <c r="P43" s="61">
        <v>526.7</v>
      </c>
      <c r="Q43" s="62">
        <f t="shared" si="7"/>
        <v>5</v>
      </c>
      <c r="R43" s="61">
        <v>20.7</v>
      </c>
      <c r="S43" s="62">
        <f t="shared" si="8"/>
        <v>6</v>
      </c>
      <c r="T43" s="61">
        <v>1410.7</v>
      </c>
      <c r="U43" s="62">
        <f t="shared" si="9"/>
        <v>7</v>
      </c>
      <c r="V43" s="61">
        <v>407</v>
      </c>
      <c r="W43" s="62">
        <f t="shared" si="10"/>
        <v>4</v>
      </c>
      <c r="X43" s="61">
        <v>1727.5</v>
      </c>
      <c r="Y43" s="199" t="s">
        <v>104</v>
      </c>
    </row>
    <row r="44" spans="1:25" ht="12" customHeight="1">
      <c r="A44" s="201" t="s">
        <v>45</v>
      </c>
      <c r="B44" s="202">
        <f t="shared" si="0"/>
        <v>11</v>
      </c>
      <c r="C44" s="63">
        <v>10.4</v>
      </c>
      <c r="D44" s="64">
        <f t="shared" si="1"/>
        <v>26</v>
      </c>
      <c r="E44" s="63">
        <v>0.9</v>
      </c>
      <c r="F44" s="64">
        <f t="shared" si="2"/>
        <v>10</v>
      </c>
      <c r="G44" s="63">
        <v>9.5</v>
      </c>
      <c r="H44" s="64">
        <f t="shared" si="3"/>
        <v>16</v>
      </c>
      <c r="I44" s="63">
        <v>79.4</v>
      </c>
      <c r="J44" s="64">
        <f t="shared" si="4"/>
        <v>34</v>
      </c>
      <c r="K44" s="63">
        <v>42.9</v>
      </c>
      <c r="L44" s="64">
        <f t="shared" si="5"/>
        <v>13</v>
      </c>
      <c r="M44" s="63">
        <v>1683.4</v>
      </c>
      <c r="N44" s="221"/>
      <c r="O44" s="64">
        <f t="shared" si="6"/>
        <v>12</v>
      </c>
      <c r="P44" s="63">
        <v>400</v>
      </c>
      <c r="Q44" s="64">
        <f t="shared" si="7"/>
        <v>15</v>
      </c>
      <c r="R44" s="63">
        <v>15.2</v>
      </c>
      <c r="S44" s="64">
        <f t="shared" si="8"/>
        <v>12</v>
      </c>
      <c r="T44" s="63">
        <v>1268.3</v>
      </c>
      <c r="U44" s="64">
        <f t="shared" si="9"/>
        <v>11</v>
      </c>
      <c r="V44" s="63">
        <v>285.8</v>
      </c>
      <c r="W44" s="64">
        <f t="shared" si="10"/>
        <v>14</v>
      </c>
      <c r="X44" s="63">
        <v>1395.4</v>
      </c>
      <c r="Y44" s="204" t="s">
        <v>105</v>
      </c>
    </row>
    <row r="45" spans="1:25" ht="12" customHeight="1">
      <c r="A45" s="201" t="s">
        <v>186</v>
      </c>
      <c r="B45" s="202">
        <f t="shared" si="0"/>
        <v>12</v>
      </c>
      <c r="C45" s="63">
        <v>10.3</v>
      </c>
      <c r="D45" s="64">
        <f t="shared" si="1"/>
        <v>26</v>
      </c>
      <c r="E45" s="63">
        <v>0.9</v>
      </c>
      <c r="F45" s="64">
        <f t="shared" si="2"/>
        <v>12</v>
      </c>
      <c r="G45" s="63">
        <v>9.4</v>
      </c>
      <c r="H45" s="64">
        <f t="shared" si="3"/>
        <v>14</v>
      </c>
      <c r="I45" s="63">
        <v>81.4</v>
      </c>
      <c r="J45" s="64">
        <f t="shared" si="4"/>
        <v>19</v>
      </c>
      <c r="K45" s="63">
        <v>45.4</v>
      </c>
      <c r="L45" s="64">
        <f t="shared" si="5"/>
        <v>16</v>
      </c>
      <c r="M45" s="63">
        <v>1587.9</v>
      </c>
      <c r="N45" s="221"/>
      <c r="O45" s="64">
        <f t="shared" si="6"/>
        <v>17</v>
      </c>
      <c r="P45" s="63">
        <v>344.3</v>
      </c>
      <c r="Q45" s="64">
        <f t="shared" si="7"/>
        <v>7</v>
      </c>
      <c r="R45" s="63">
        <v>17.7</v>
      </c>
      <c r="S45" s="64">
        <f t="shared" si="8"/>
        <v>15</v>
      </c>
      <c r="T45" s="63">
        <v>1226</v>
      </c>
      <c r="U45" s="64">
        <f t="shared" si="9"/>
        <v>4</v>
      </c>
      <c r="V45" s="63">
        <v>424.8</v>
      </c>
      <c r="W45" s="64">
        <f t="shared" si="10"/>
        <v>15</v>
      </c>
      <c r="X45" s="63">
        <v>1380.4</v>
      </c>
      <c r="Y45" s="204" t="s">
        <v>92</v>
      </c>
    </row>
    <row r="46" spans="1:25" ht="12" customHeight="1">
      <c r="A46" s="201" t="s">
        <v>46</v>
      </c>
      <c r="B46" s="202">
        <f t="shared" si="0"/>
        <v>1</v>
      </c>
      <c r="C46" s="63">
        <v>17.7</v>
      </c>
      <c r="D46" s="64">
        <f t="shared" si="1"/>
        <v>9</v>
      </c>
      <c r="E46" s="63">
        <v>1.5</v>
      </c>
      <c r="F46" s="64">
        <f t="shared" si="2"/>
        <v>1</v>
      </c>
      <c r="G46" s="63">
        <v>16.2</v>
      </c>
      <c r="H46" s="64">
        <f t="shared" si="3"/>
        <v>22</v>
      </c>
      <c r="I46" s="63">
        <v>74.2</v>
      </c>
      <c r="J46" s="64">
        <f t="shared" si="4"/>
        <v>29</v>
      </c>
      <c r="K46" s="63">
        <v>44.1</v>
      </c>
      <c r="L46" s="64">
        <f t="shared" si="5"/>
        <v>1</v>
      </c>
      <c r="M46" s="63">
        <v>2457.2</v>
      </c>
      <c r="N46" s="221"/>
      <c r="O46" s="64">
        <f t="shared" si="6"/>
        <v>6</v>
      </c>
      <c r="P46" s="63">
        <v>493.3</v>
      </c>
      <c r="Q46" s="64">
        <f t="shared" si="7"/>
        <v>1</v>
      </c>
      <c r="R46" s="63">
        <v>36.1</v>
      </c>
      <c r="S46" s="64">
        <f t="shared" si="8"/>
        <v>1</v>
      </c>
      <c r="T46" s="63">
        <v>1927.8</v>
      </c>
      <c r="U46" s="64">
        <f t="shared" si="9"/>
        <v>10</v>
      </c>
      <c r="V46" s="63">
        <v>305.3</v>
      </c>
      <c r="W46" s="64">
        <f t="shared" si="10"/>
        <v>1</v>
      </c>
      <c r="X46" s="63">
        <v>2143</v>
      </c>
      <c r="Y46" s="204" t="s">
        <v>106</v>
      </c>
    </row>
    <row r="47" spans="1:25" ht="12" customHeight="1">
      <c r="A47" s="201" t="s">
        <v>47</v>
      </c>
      <c r="B47" s="202">
        <f t="shared" si="0"/>
        <v>17</v>
      </c>
      <c r="C47" s="63">
        <v>9.5</v>
      </c>
      <c r="D47" s="64">
        <f t="shared" si="1"/>
        <v>12</v>
      </c>
      <c r="E47" s="63">
        <v>1.2</v>
      </c>
      <c r="F47" s="64">
        <f t="shared" si="2"/>
        <v>16</v>
      </c>
      <c r="G47" s="63">
        <v>8.4</v>
      </c>
      <c r="H47" s="64">
        <f t="shared" si="3"/>
        <v>11</v>
      </c>
      <c r="I47" s="63">
        <v>86.1</v>
      </c>
      <c r="J47" s="64">
        <f t="shared" si="4"/>
        <v>3</v>
      </c>
      <c r="K47" s="63">
        <v>57.2</v>
      </c>
      <c r="L47" s="64">
        <f t="shared" si="5"/>
        <v>9</v>
      </c>
      <c r="M47" s="63">
        <v>1768.9</v>
      </c>
      <c r="N47" s="221"/>
      <c r="O47" s="64">
        <f t="shared" si="6"/>
        <v>9</v>
      </c>
      <c r="P47" s="63">
        <v>435</v>
      </c>
      <c r="Q47" s="64">
        <f t="shared" si="7"/>
        <v>16</v>
      </c>
      <c r="R47" s="63">
        <v>15</v>
      </c>
      <c r="S47" s="64">
        <f t="shared" si="8"/>
        <v>9</v>
      </c>
      <c r="T47" s="63">
        <v>1319</v>
      </c>
      <c r="U47" s="64">
        <f t="shared" si="9"/>
        <v>13</v>
      </c>
      <c r="V47" s="63">
        <v>247.2</v>
      </c>
      <c r="W47" s="64">
        <f t="shared" si="10"/>
        <v>9</v>
      </c>
      <c r="X47" s="63">
        <v>1559.6</v>
      </c>
      <c r="Y47" s="204" t="s">
        <v>78</v>
      </c>
    </row>
    <row r="48" spans="1:25" s="200" customFormat="1" ht="24" customHeight="1">
      <c r="A48" s="196" t="s">
        <v>48</v>
      </c>
      <c r="B48" s="197">
        <f t="shared" si="0"/>
        <v>6</v>
      </c>
      <c r="C48" s="61">
        <v>12.8</v>
      </c>
      <c r="D48" s="62">
        <f t="shared" si="1"/>
        <v>8</v>
      </c>
      <c r="E48" s="61">
        <v>1.6</v>
      </c>
      <c r="F48" s="62">
        <f t="shared" si="2"/>
        <v>6</v>
      </c>
      <c r="G48" s="61">
        <v>11.2</v>
      </c>
      <c r="H48" s="62">
        <f t="shared" si="3"/>
        <v>19</v>
      </c>
      <c r="I48" s="61">
        <v>77.2</v>
      </c>
      <c r="J48" s="62">
        <f t="shared" si="4"/>
        <v>24</v>
      </c>
      <c r="K48" s="61">
        <v>44.7</v>
      </c>
      <c r="L48" s="62">
        <f t="shared" si="5"/>
        <v>8</v>
      </c>
      <c r="M48" s="61">
        <v>1774.7</v>
      </c>
      <c r="N48" s="220"/>
      <c r="O48" s="62">
        <f t="shared" si="6"/>
        <v>5</v>
      </c>
      <c r="P48" s="61">
        <v>513.4</v>
      </c>
      <c r="Q48" s="62">
        <f t="shared" si="7"/>
        <v>8</v>
      </c>
      <c r="R48" s="61">
        <v>17.5</v>
      </c>
      <c r="S48" s="62">
        <f t="shared" si="8"/>
        <v>14</v>
      </c>
      <c r="T48" s="61">
        <v>1243.7</v>
      </c>
      <c r="U48" s="62">
        <f t="shared" si="9"/>
        <v>6</v>
      </c>
      <c r="V48" s="61">
        <v>422.2</v>
      </c>
      <c r="W48" s="62">
        <f t="shared" si="10"/>
        <v>7</v>
      </c>
      <c r="X48" s="61">
        <v>1579.3</v>
      </c>
      <c r="Y48" s="199" t="s">
        <v>107</v>
      </c>
    </row>
    <row r="49" spans="1:25" ht="12" customHeight="1">
      <c r="A49" s="201" t="s">
        <v>49</v>
      </c>
      <c r="B49" s="202">
        <f t="shared" si="0"/>
        <v>8</v>
      </c>
      <c r="C49" s="63">
        <v>11.4</v>
      </c>
      <c r="D49" s="64">
        <f t="shared" si="1"/>
        <v>5</v>
      </c>
      <c r="E49" s="63">
        <v>1.9</v>
      </c>
      <c r="F49" s="64">
        <f t="shared" si="2"/>
        <v>10</v>
      </c>
      <c r="G49" s="63">
        <v>9.5</v>
      </c>
      <c r="H49" s="64">
        <f t="shared" si="3"/>
        <v>5</v>
      </c>
      <c r="I49" s="63">
        <v>95.3</v>
      </c>
      <c r="J49" s="64">
        <f t="shared" si="4"/>
        <v>10</v>
      </c>
      <c r="K49" s="63">
        <v>49.7</v>
      </c>
      <c r="L49" s="64">
        <f t="shared" si="5"/>
        <v>5</v>
      </c>
      <c r="M49" s="63">
        <v>1894.5</v>
      </c>
      <c r="N49" s="221"/>
      <c r="O49" s="64">
        <f t="shared" si="6"/>
        <v>2</v>
      </c>
      <c r="P49" s="63">
        <v>553.7</v>
      </c>
      <c r="Q49" s="64">
        <f t="shared" si="7"/>
        <v>3</v>
      </c>
      <c r="R49" s="63">
        <v>21.7</v>
      </c>
      <c r="S49" s="64">
        <f t="shared" si="8"/>
        <v>8</v>
      </c>
      <c r="T49" s="63">
        <v>1319.1</v>
      </c>
      <c r="U49" s="64">
        <f t="shared" si="9"/>
        <v>1</v>
      </c>
      <c r="V49" s="63">
        <v>452.3</v>
      </c>
      <c r="W49" s="64">
        <f t="shared" si="10"/>
        <v>6</v>
      </c>
      <c r="X49" s="63">
        <v>1682.7</v>
      </c>
      <c r="Y49" s="204" t="s">
        <v>89</v>
      </c>
    </row>
    <row r="50" spans="1:25" ht="12" customHeight="1">
      <c r="A50" s="201" t="s">
        <v>50</v>
      </c>
      <c r="B50" s="202">
        <f t="shared" si="0"/>
        <v>7</v>
      </c>
      <c r="C50" s="63">
        <v>12</v>
      </c>
      <c r="D50" s="64">
        <f t="shared" si="1"/>
        <v>4</v>
      </c>
      <c r="E50" s="63">
        <v>2</v>
      </c>
      <c r="F50" s="64">
        <f t="shared" si="2"/>
        <v>7</v>
      </c>
      <c r="G50" s="63">
        <v>10</v>
      </c>
      <c r="H50" s="64">
        <f t="shared" si="3"/>
        <v>15</v>
      </c>
      <c r="I50" s="63">
        <v>80.2</v>
      </c>
      <c r="J50" s="64">
        <f t="shared" si="4"/>
        <v>33</v>
      </c>
      <c r="K50" s="63">
        <v>43.3</v>
      </c>
      <c r="L50" s="64">
        <f t="shared" si="5"/>
        <v>4</v>
      </c>
      <c r="M50" s="63">
        <v>1951</v>
      </c>
      <c r="N50" s="221"/>
      <c r="O50" s="64">
        <f t="shared" si="6"/>
        <v>7</v>
      </c>
      <c r="P50" s="63">
        <v>485.9</v>
      </c>
      <c r="Q50" s="64">
        <f t="shared" si="7"/>
        <v>11</v>
      </c>
      <c r="R50" s="63">
        <v>16.2</v>
      </c>
      <c r="S50" s="64">
        <f t="shared" si="8"/>
        <v>3</v>
      </c>
      <c r="T50" s="63">
        <v>1449</v>
      </c>
      <c r="U50" s="64">
        <f t="shared" si="9"/>
        <v>2</v>
      </c>
      <c r="V50" s="63">
        <v>448.7</v>
      </c>
      <c r="W50" s="64">
        <f t="shared" si="10"/>
        <v>3</v>
      </c>
      <c r="X50" s="63">
        <v>1739.9</v>
      </c>
      <c r="Y50" s="204" t="s">
        <v>108</v>
      </c>
    </row>
    <row r="51" spans="1:25" ht="12" customHeight="1">
      <c r="A51" s="192" t="s">
        <v>51</v>
      </c>
      <c r="B51" s="223">
        <f t="shared" si="0"/>
        <v>4</v>
      </c>
      <c r="C51" s="65">
        <v>13.6</v>
      </c>
      <c r="D51" s="66">
        <f t="shared" si="1"/>
        <v>1</v>
      </c>
      <c r="E51" s="65">
        <v>2.1</v>
      </c>
      <c r="F51" s="66">
        <f t="shared" si="2"/>
        <v>5</v>
      </c>
      <c r="G51" s="65">
        <v>11.6</v>
      </c>
      <c r="H51" s="66">
        <f t="shared" si="3"/>
        <v>17</v>
      </c>
      <c r="I51" s="65">
        <v>78.5</v>
      </c>
      <c r="J51" s="66">
        <f t="shared" si="4"/>
        <v>25</v>
      </c>
      <c r="K51" s="65">
        <v>44.5</v>
      </c>
      <c r="L51" s="66">
        <f t="shared" si="5"/>
        <v>11</v>
      </c>
      <c r="M51" s="65">
        <v>1726.5</v>
      </c>
      <c r="N51" s="219"/>
      <c r="O51" s="66">
        <f t="shared" si="6"/>
        <v>8</v>
      </c>
      <c r="P51" s="65">
        <v>449.1</v>
      </c>
      <c r="Q51" s="66">
        <f t="shared" si="7"/>
        <v>22</v>
      </c>
      <c r="R51" s="65">
        <v>14</v>
      </c>
      <c r="S51" s="66">
        <f t="shared" si="8"/>
        <v>13</v>
      </c>
      <c r="T51" s="65">
        <v>1263.4</v>
      </c>
      <c r="U51" s="66">
        <f t="shared" si="9"/>
        <v>3</v>
      </c>
      <c r="V51" s="65">
        <v>444</v>
      </c>
      <c r="W51" s="66">
        <f t="shared" si="10"/>
        <v>10</v>
      </c>
      <c r="X51" s="65">
        <v>1531.5</v>
      </c>
      <c r="Y51" s="206" t="s">
        <v>96</v>
      </c>
    </row>
    <row r="52" spans="1:25" ht="12" customHeight="1">
      <c r="A52" s="201" t="s">
        <v>52</v>
      </c>
      <c r="B52" s="202">
        <f t="shared" si="0"/>
        <v>5</v>
      </c>
      <c r="C52" s="63">
        <v>13.1</v>
      </c>
      <c r="D52" s="64">
        <f t="shared" si="1"/>
        <v>10</v>
      </c>
      <c r="E52" s="63">
        <v>1.4</v>
      </c>
      <c r="F52" s="64">
        <f t="shared" si="2"/>
        <v>4</v>
      </c>
      <c r="G52" s="63">
        <v>11.7</v>
      </c>
      <c r="H52" s="64">
        <f t="shared" si="3"/>
        <v>20</v>
      </c>
      <c r="I52" s="63">
        <v>76.5</v>
      </c>
      <c r="J52" s="64">
        <f t="shared" si="4"/>
        <v>31</v>
      </c>
      <c r="K52" s="63">
        <v>44</v>
      </c>
      <c r="L52" s="64">
        <f t="shared" si="5"/>
        <v>12</v>
      </c>
      <c r="M52" s="63">
        <v>1704.9</v>
      </c>
      <c r="N52" s="221"/>
      <c r="O52" s="64">
        <f t="shared" si="6"/>
        <v>3</v>
      </c>
      <c r="P52" s="63">
        <v>535.2</v>
      </c>
      <c r="Q52" s="64">
        <f t="shared" si="7"/>
        <v>19</v>
      </c>
      <c r="R52" s="63">
        <v>14.3</v>
      </c>
      <c r="S52" s="64">
        <f t="shared" si="8"/>
        <v>19</v>
      </c>
      <c r="T52" s="63">
        <v>1155.3</v>
      </c>
      <c r="U52" s="64">
        <f t="shared" si="9"/>
        <v>8</v>
      </c>
      <c r="V52" s="63">
        <v>401.1</v>
      </c>
      <c r="W52" s="64">
        <f t="shared" si="10"/>
        <v>13</v>
      </c>
      <c r="X52" s="63">
        <v>1462</v>
      </c>
      <c r="Y52" s="204" t="s">
        <v>75</v>
      </c>
    </row>
    <row r="53" spans="1:25" s="200" customFormat="1" ht="24" customHeight="1">
      <c r="A53" s="196" t="s">
        <v>53</v>
      </c>
      <c r="B53" s="197">
        <f t="shared" si="0"/>
        <v>2</v>
      </c>
      <c r="C53" s="61">
        <v>15.9</v>
      </c>
      <c r="D53" s="62">
        <f t="shared" si="1"/>
        <v>1</v>
      </c>
      <c r="E53" s="61">
        <v>2.1</v>
      </c>
      <c r="F53" s="62">
        <f t="shared" si="2"/>
        <v>2</v>
      </c>
      <c r="G53" s="61">
        <v>13.8</v>
      </c>
      <c r="H53" s="62">
        <f t="shared" si="3"/>
        <v>18</v>
      </c>
      <c r="I53" s="61">
        <v>78.1</v>
      </c>
      <c r="J53" s="62">
        <f t="shared" si="4"/>
        <v>31</v>
      </c>
      <c r="K53" s="61">
        <v>44</v>
      </c>
      <c r="L53" s="62">
        <f t="shared" si="5"/>
        <v>2</v>
      </c>
      <c r="M53" s="61">
        <v>2018.9</v>
      </c>
      <c r="N53" s="220"/>
      <c r="O53" s="62">
        <f t="shared" si="6"/>
        <v>1</v>
      </c>
      <c r="P53" s="61">
        <v>566.9</v>
      </c>
      <c r="Q53" s="62">
        <f t="shared" si="7"/>
        <v>18</v>
      </c>
      <c r="R53" s="61">
        <v>14.4</v>
      </c>
      <c r="S53" s="62">
        <f t="shared" si="8"/>
        <v>4</v>
      </c>
      <c r="T53" s="61">
        <v>1437.6</v>
      </c>
      <c r="U53" s="62">
        <f t="shared" si="9"/>
        <v>5</v>
      </c>
      <c r="V53" s="61">
        <v>423.7</v>
      </c>
      <c r="W53" s="62">
        <f t="shared" si="10"/>
        <v>2</v>
      </c>
      <c r="X53" s="61">
        <v>1785.1</v>
      </c>
      <c r="Y53" s="199" t="s">
        <v>109</v>
      </c>
    </row>
    <row r="54" spans="1:25" ht="12" customHeight="1">
      <c r="A54" s="207" t="s">
        <v>54</v>
      </c>
      <c r="B54" s="208">
        <f t="shared" si="0"/>
        <v>27</v>
      </c>
      <c r="C54" s="209">
        <v>7</v>
      </c>
      <c r="D54" s="67">
        <f t="shared" si="1"/>
        <v>21</v>
      </c>
      <c r="E54" s="209">
        <v>1</v>
      </c>
      <c r="F54" s="67">
        <f t="shared" si="2"/>
        <v>28</v>
      </c>
      <c r="G54" s="209">
        <v>6</v>
      </c>
      <c r="H54" s="67">
        <f t="shared" si="3"/>
        <v>46</v>
      </c>
      <c r="I54" s="209">
        <v>53.9</v>
      </c>
      <c r="J54" s="67">
        <f t="shared" si="4"/>
        <v>37</v>
      </c>
      <c r="K54" s="209">
        <v>42.4</v>
      </c>
      <c r="L54" s="67">
        <f t="shared" si="5"/>
        <v>21</v>
      </c>
      <c r="M54" s="209">
        <v>1462.6</v>
      </c>
      <c r="N54" s="221"/>
      <c r="O54" s="67">
        <f t="shared" si="6"/>
        <v>10</v>
      </c>
      <c r="P54" s="209">
        <v>417.3</v>
      </c>
      <c r="Q54" s="67">
        <f t="shared" si="7"/>
        <v>25</v>
      </c>
      <c r="R54" s="209">
        <v>13.4</v>
      </c>
      <c r="S54" s="67">
        <f t="shared" si="8"/>
        <v>26</v>
      </c>
      <c r="T54" s="209">
        <v>1031.7</v>
      </c>
      <c r="U54" s="67">
        <f t="shared" si="9"/>
        <v>27</v>
      </c>
      <c r="V54" s="209">
        <v>150.2</v>
      </c>
      <c r="W54" s="67">
        <f t="shared" si="10"/>
        <v>17</v>
      </c>
      <c r="X54" s="209">
        <v>1308.8</v>
      </c>
      <c r="Y54" s="211" t="s">
        <v>110</v>
      </c>
    </row>
  </sheetData>
  <mergeCells count="15">
    <mergeCell ref="L4:M5"/>
    <mergeCell ref="U4:V5"/>
    <mergeCell ref="W4:X5"/>
    <mergeCell ref="H4:I5"/>
    <mergeCell ref="J4:K5"/>
    <mergeCell ref="A4:A6"/>
    <mergeCell ref="B4:C5"/>
    <mergeCell ref="Y4:Y6"/>
    <mergeCell ref="D4:G4"/>
    <mergeCell ref="D5:E5"/>
    <mergeCell ref="F5:G5"/>
    <mergeCell ref="O4:T4"/>
    <mergeCell ref="O5:P5"/>
    <mergeCell ref="Q5:R5"/>
    <mergeCell ref="S5:T5"/>
  </mergeCells>
  <printOptions horizontalCentered="1" verticalCentered="1"/>
  <pageMargins left="0.5905511811023623" right="0.3937007874015748" top="0" bottom="0" header="0.5118110236220472" footer="0.5118110236220472"/>
  <pageSetup blackAndWhite="1" fitToWidth="0" orientation="portrait" paperSize="9" scale="88" r:id="rId1"/>
  <colBreaks count="1" manualBreakCount="1">
    <brk id="13" max="6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I55"/>
  <sheetViews>
    <sheetView zoomScaleSheetLayoutView="10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61" customWidth="1"/>
    <col min="2" max="2" width="3.75390625" style="161" customWidth="1"/>
    <col min="3" max="3" width="8.75390625" style="161" customWidth="1"/>
    <col min="4" max="4" width="3.75390625" style="161" customWidth="1"/>
    <col min="5" max="5" width="8.75390625" style="161" customWidth="1"/>
    <col min="6" max="6" width="3.75390625" style="161" customWidth="1"/>
    <col min="7" max="7" width="8.75390625" style="161" customWidth="1"/>
    <col min="8" max="8" width="3.75390625" style="161" customWidth="1"/>
    <col min="9" max="9" width="8.75390625" style="161" customWidth="1"/>
    <col min="10" max="10" width="3.75390625" style="161" customWidth="1"/>
    <col min="11" max="11" width="8.75390625" style="161" customWidth="1"/>
    <col min="12" max="12" width="3.75390625" style="161" customWidth="1"/>
    <col min="13" max="13" width="8.75390625" style="161" customWidth="1"/>
    <col min="14" max="14" width="3.75390625" style="161" customWidth="1"/>
    <col min="15" max="15" width="8.75390625" style="161" customWidth="1"/>
    <col min="16" max="16" width="3.75390625" style="161" customWidth="1"/>
    <col min="17" max="17" width="8.75390625" style="161" customWidth="1"/>
    <col min="18" max="18" width="3.75390625" style="72" customWidth="1"/>
    <col min="19" max="19" width="3.75390625" style="162" customWidth="1"/>
    <col min="20" max="20" width="8.75390625" style="162" customWidth="1"/>
    <col min="21" max="21" width="3.75390625" style="161" customWidth="1"/>
    <col min="22" max="22" width="8.75390625" style="161" customWidth="1"/>
    <col min="23" max="23" width="3.75390625" style="161" customWidth="1"/>
    <col min="24" max="24" width="8.75390625" style="161" customWidth="1"/>
    <col min="25" max="25" width="3.75390625" style="161" customWidth="1"/>
    <col min="26" max="26" width="8.75390625" style="161" customWidth="1"/>
    <col min="27" max="27" width="3.75390625" style="162" customWidth="1"/>
    <col min="28" max="28" width="8.75390625" style="162" customWidth="1"/>
    <col min="29" max="29" width="3.75390625" style="162" customWidth="1"/>
    <col min="30" max="30" width="8.75390625" style="162" customWidth="1"/>
    <col min="31" max="31" width="3.75390625" style="162" customWidth="1"/>
    <col min="32" max="32" width="8.75390625" style="162" customWidth="1"/>
    <col min="33" max="33" width="3.75390625" style="162" customWidth="1"/>
    <col min="34" max="34" width="8.75390625" style="162" customWidth="1"/>
    <col min="35" max="35" width="5.125" style="161" customWidth="1"/>
    <col min="36" max="16384" width="9.00390625" style="159" customWidth="1"/>
  </cols>
  <sheetData>
    <row r="1" spans="1:35" ht="18.75">
      <c r="A1" s="163" t="s">
        <v>55</v>
      </c>
      <c r="B1" s="156"/>
      <c r="C1" s="156"/>
      <c r="D1" s="157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71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6"/>
      <c r="AI1" s="156"/>
    </row>
    <row r="2" spans="1:35" ht="18.75">
      <c r="A2" s="163" t="s">
        <v>148</v>
      </c>
      <c r="B2" s="160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237" t="s">
        <v>222</v>
      </c>
      <c r="R2" s="71"/>
      <c r="S2" s="157" t="s">
        <v>221</v>
      </c>
      <c r="T2" s="158"/>
      <c r="U2" s="158"/>
      <c r="V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I2" s="163"/>
    </row>
    <row r="3" spans="1:35" ht="14.25" thickBo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S3" s="165"/>
      <c r="T3" s="165"/>
      <c r="U3" s="164"/>
      <c r="V3" s="164"/>
      <c r="W3" s="164"/>
      <c r="X3" s="164"/>
      <c r="Y3" s="164"/>
      <c r="Z3" s="164"/>
      <c r="AA3" s="165"/>
      <c r="AB3" s="165"/>
      <c r="AC3" s="165"/>
      <c r="AD3" s="165"/>
      <c r="AE3" s="165"/>
      <c r="AF3" s="165"/>
      <c r="AG3" s="165"/>
      <c r="AH3" s="165"/>
      <c r="AI3" s="166" t="s">
        <v>196</v>
      </c>
    </row>
    <row r="4" spans="1:35" ht="10.5" customHeight="1">
      <c r="A4" s="167" t="s">
        <v>1</v>
      </c>
      <c r="B4" s="168" t="s">
        <v>217</v>
      </c>
      <c r="C4" s="169"/>
      <c r="D4" s="168" t="s">
        <v>211</v>
      </c>
      <c r="E4" s="169"/>
      <c r="F4" s="238" t="s">
        <v>212</v>
      </c>
      <c r="G4" s="238"/>
      <c r="H4" s="238" t="s">
        <v>213</v>
      </c>
      <c r="I4" s="238"/>
      <c r="J4" s="172" t="s">
        <v>219</v>
      </c>
      <c r="K4" s="170"/>
      <c r="L4" s="170"/>
      <c r="M4" s="170"/>
      <c r="N4" s="170"/>
      <c r="O4" s="170"/>
      <c r="P4" s="170"/>
      <c r="Q4" s="170"/>
      <c r="R4" s="77"/>
      <c r="S4" s="170" t="s">
        <v>220</v>
      </c>
      <c r="T4" s="170"/>
      <c r="U4" s="170"/>
      <c r="V4" s="170"/>
      <c r="W4" s="170"/>
      <c r="X4" s="171"/>
      <c r="Y4" s="228" t="s">
        <v>149</v>
      </c>
      <c r="Z4" s="227"/>
      <c r="AA4" s="168" t="s">
        <v>192</v>
      </c>
      <c r="AB4" s="229"/>
      <c r="AC4" s="216"/>
      <c r="AD4" s="217"/>
      <c r="AE4" s="168" t="s">
        <v>193</v>
      </c>
      <c r="AF4" s="169"/>
      <c r="AG4" s="216"/>
      <c r="AH4" s="217"/>
      <c r="AI4" s="173" t="s">
        <v>1</v>
      </c>
    </row>
    <row r="5" spans="1:35" ht="10.5" customHeight="1">
      <c r="A5" s="174"/>
      <c r="B5" s="239"/>
      <c r="C5" s="240"/>
      <c r="D5" s="239"/>
      <c r="E5" s="240"/>
      <c r="F5" s="241"/>
      <c r="G5" s="241"/>
      <c r="H5" s="241"/>
      <c r="I5" s="241"/>
      <c r="J5" s="242" t="s">
        <v>215</v>
      </c>
      <c r="K5" s="242"/>
      <c r="L5" s="242" t="s">
        <v>216</v>
      </c>
      <c r="M5" s="242"/>
      <c r="N5" s="183" t="s">
        <v>214</v>
      </c>
      <c r="O5" s="182"/>
      <c r="P5" s="182"/>
      <c r="Q5" s="182"/>
      <c r="R5" s="77"/>
      <c r="S5" s="243" t="s">
        <v>214</v>
      </c>
      <c r="T5" s="243"/>
      <c r="U5" s="243"/>
      <c r="V5" s="243"/>
      <c r="W5" s="243"/>
      <c r="X5" s="244"/>
      <c r="Y5" s="245"/>
      <c r="Z5" s="246"/>
      <c r="AA5" s="239"/>
      <c r="AB5" s="247"/>
      <c r="AC5" s="248"/>
      <c r="AD5" s="249"/>
      <c r="AE5" s="239"/>
      <c r="AF5" s="240"/>
      <c r="AG5" s="248"/>
      <c r="AH5" s="249"/>
      <c r="AI5" s="184"/>
    </row>
    <row r="6" spans="1:35" ht="33" customHeight="1">
      <c r="A6" s="174"/>
      <c r="B6" s="175"/>
      <c r="C6" s="176"/>
      <c r="D6" s="175"/>
      <c r="E6" s="181"/>
      <c r="F6" s="250"/>
      <c r="G6" s="250"/>
      <c r="H6" s="250"/>
      <c r="I6" s="250"/>
      <c r="J6" s="242"/>
      <c r="K6" s="242"/>
      <c r="L6" s="242"/>
      <c r="M6" s="242"/>
      <c r="N6" s="242" t="s">
        <v>215</v>
      </c>
      <c r="O6" s="242"/>
      <c r="P6" s="242" t="s">
        <v>150</v>
      </c>
      <c r="Q6" s="179"/>
      <c r="R6" s="78"/>
      <c r="S6" s="251" t="s">
        <v>151</v>
      </c>
      <c r="T6" s="252"/>
      <c r="U6" s="242" t="s">
        <v>152</v>
      </c>
      <c r="V6" s="179"/>
      <c r="W6" s="181" t="s">
        <v>191</v>
      </c>
      <c r="X6" s="178"/>
      <c r="Y6" s="177"/>
      <c r="Z6" s="178"/>
      <c r="AA6" s="177"/>
      <c r="AB6" s="178"/>
      <c r="AC6" s="175" t="s">
        <v>194</v>
      </c>
      <c r="AD6" s="178"/>
      <c r="AE6" s="175"/>
      <c r="AF6" s="181"/>
      <c r="AG6" s="175" t="s">
        <v>195</v>
      </c>
      <c r="AH6" s="178"/>
      <c r="AI6" s="184"/>
    </row>
    <row r="7" spans="1:35" ht="27.75" customHeight="1">
      <c r="A7" s="185"/>
      <c r="B7" s="186" t="s">
        <v>2</v>
      </c>
      <c r="C7" s="187" t="s">
        <v>116</v>
      </c>
      <c r="D7" s="186" t="s">
        <v>2</v>
      </c>
      <c r="E7" s="188" t="s">
        <v>153</v>
      </c>
      <c r="F7" s="186" t="s">
        <v>2</v>
      </c>
      <c r="G7" s="188" t="s">
        <v>153</v>
      </c>
      <c r="H7" s="186" t="s">
        <v>2</v>
      </c>
      <c r="I7" s="188" t="s">
        <v>153</v>
      </c>
      <c r="J7" s="186" t="s">
        <v>2</v>
      </c>
      <c r="K7" s="188" t="s">
        <v>153</v>
      </c>
      <c r="L7" s="186" t="s">
        <v>2</v>
      </c>
      <c r="M7" s="188" t="s">
        <v>153</v>
      </c>
      <c r="N7" s="186" t="s">
        <v>2</v>
      </c>
      <c r="O7" s="188" t="s">
        <v>153</v>
      </c>
      <c r="P7" s="186" t="s">
        <v>2</v>
      </c>
      <c r="Q7" s="253" t="s">
        <v>153</v>
      </c>
      <c r="R7" s="77"/>
      <c r="S7" s="189" t="s">
        <v>2</v>
      </c>
      <c r="T7" s="188" t="s">
        <v>153</v>
      </c>
      <c r="U7" s="186" t="s">
        <v>2</v>
      </c>
      <c r="V7" s="253" t="s">
        <v>153</v>
      </c>
      <c r="W7" s="254" t="s">
        <v>2</v>
      </c>
      <c r="X7" s="188" t="s">
        <v>153</v>
      </c>
      <c r="Y7" s="186" t="s">
        <v>2</v>
      </c>
      <c r="Z7" s="187" t="s">
        <v>116</v>
      </c>
      <c r="AA7" s="186" t="s">
        <v>2</v>
      </c>
      <c r="AB7" s="187" t="s">
        <v>116</v>
      </c>
      <c r="AC7" s="186" t="s">
        <v>2</v>
      </c>
      <c r="AD7" s="187" t="s">
        <v>116</v>
      </c>
      <c r="AE7" s="186" t="s">
        <v>2</v>
      </c>
      <c r="AF7" s="187" t="s">
        <v>116</v>
      </c>
      <c r="AG7" s="186" t="s">
        <v>2</v>
      </c>
      <c r="AH7" s="187" t="s">
        <v>116</v>
      </c>
      <c r="AI7" s="191"/>
    </row>
    <row r="8" spans="1:35" ht="15" customHeight="1">
      <c r="A8" s="192" t="s">
        <v>8</v>
      </c>
      <c r="B8" s="193"/>
      <c r="C8" s="59">
        <v>1301.8</v>
      </c>
      <c r="D8" s="60"/>
      <c r="E8" s="59">
        <v>84.9</v>
      </c>
      <c r="F8" s="59"/>
      <c r="G8" s="59">
        <v>93.6</v>
      </c>
      <c r="H8" s="59"/>
      <c r="I8" s="59">
        <v>57.6</v>
      </c>
      <c r="J8" s="59"/>
      <c r="K8" s="59">
        <v>83.3</v>
      </c>
      <c r="L8" s="59"/>
      <c r="M8" s="59">
        <v>83.5</v>
      </c>
      <c r="N8" s="59"/>
      <c r="O8" s="59">
        <v>82.7</v>
      </c>
      <c r="P8" s="60"/>
      <c r="Q8" s="59">
        <v>90.7</v>
      </c>
      <c r="R8" s="65"/>
      <c r="S8" s="60"/>
      <c r="T8" s="255">
        <v>2.4</v>
      </c>
      <c r="U8" s="60"/>
      <c r="V8" s="59">
        <v>46.2</v>
      </c>
      <c r="W8" s="60"/>
      <c r="X8" s="59">
        <v>82.6</v>
      </c>
      <c r="Y8" s="60"/>
      <c r="Z8" s="256">
        <v>39.1</v>
      </c>
      <c r="AA8" s="60"/>
      <c r="AB8" s="59">
        <v>206.1</v>
      </c>
      <c r="AC8" s="60"/>
      <c r="AD8" s="59">
        <v>195.8</v>
      </c>
      <c r="AE8" s="60"/>
      <c r="AF8" s="59">
        <v>72.9</v>
      </c>
      <c r="AG8" s="60"/>
      <c r="AH8" s="59">
        <v>71</v>
      </c>
      <c r="AI8" s="195" t="s">
        <v>71</v>
      </c>
    </row>
    <row r="9" spans="1:35" s="200" customFormat="1" ht="30" customHeight="1">
      <c r="A9" s="196" t="s">
        <v>9</v>
      </c>
      <c r="B9" s="197">
        <f aca="true" t="shared" si="0" ref="B9:B55">IF(C9="","",RANK(C9,C$9:C$55))</f>
        <v>4</v>
      </c>
      <c r="C9" s="61">
        <v>1736.3</v>
      </c>
      <c r="D9" s="62">
        <f aca="true" t="shared" si="1" ref="D9:D55">IF(E9="","",RANK(E9,E$9:E$55))</f>
        <v>28</v>
      </c>
      <c r="E9" s="61">
        <v>84</v>
      </c>
      <c r="F9" s="62">
        <f aca="true" t="shared" si="2" ref="F9:F55">IF(G9="","",RANK(G9,G$9:G$55))</f>
        <v>15</v>
      </c>
      <c r="G9" s="61">
        <v>95.1</v>
      </c>
      <c r="H9" s="62">
        <f>IF(I9="・","",RANK(I9,I$9:I$55))</f>
      </c>
      <c r="I9" s="61" t="s">
        <v>218</v>
      </c>
      <c r="J9" s="62">
        <f aca="true" t="shared" si="3" ref="J9:J55">IF(K9="","",RANK(K9,K$9:K$55))</f>
        <v>27</v>
      </c>
      <c r="K9" s="61">
        <v>82.4</v>
      </c>
      <c r="L9" s="62">
        <f aca="true" t="shared" si="4" ref="L9:L55">IF(M9="","",RANK(M9,M$9:M$55))</f>
        <v>29</v>
      </c>
      <c r="M9" s="61">
        <v>82.7</v>
      </c>
      <c r="N9" s="62">
        <f aca="true" t="shared" si="5" ref="N9:P55">IF(O9="","",RANK(O9,O$9:O$55))</f>
        <v>33</v>
      </c>
      <c r="O9" s="61">
        <v>81.5</v>
      </c>
      <c r="P9" s="62">
        <f t="shared" si="5"/>
        <v>31</v>
      </c>
      <c r="Q9" s="61">
        <v>89</v>
      </c>
      <c r="R9" s="61"/>
      <c r="S9" s="62">
        <f aca="true" t="shared" si="6" ref="S9:S55">IF(T9="","",RANK(T9,T$9:T$55))</f>
        <v>29</v>
      </c>
      <c r="T9" s="257">
        <v>0</v>
      </c>
      <c r="U9" s="62">
        <f aca="true" t="shared" si="7" ref="U9:U55">IF(V9="","",RANK(V9,V$9:V$55))</f>
        <v>34</v>
      </c>
      <c r="V9" s="61">
        <v>32.7</v>
      </c>
      <c r="W9" s="62">
        <f aca="true" t="shared" si="8" ref="W9:W55">IF(X9="","",RANK(X9,X$9:X$55))</f>
        <v>37</v>
      </c>
      <c r="X9" s="61">
        <v>80.7</v>
      </c>
      <c r="Y9" s="62">
        <f aca="true" t="shared" si="9" ref="Y9:Y55">IF(Z9="","",RANK(Z9,Z$9:Z$55))</f>
        <v>31</v>
      </c>
      <c r="Z9" s="258">
        <v>36.8</v>
      </c>
      <c r="AA9" s="62">
        <f aca="true" t="shared" si="10" ref="AA9:AA55">IF(AB9="","",RANK(AB9,AB$9:AB$55))</f>
        <v>23</v>
      </c>
      <c r="AB9" s="61">
        <v>209.8</v>
      </c>
      <c r="AC9" s="62">
        <f aca="true" t="shared" si="11" ref="AC9:AC55">IF(AD9="","",RANK(AD9,AD$9:AD$55))</f>
        <v>23</v>
      </c>
      <c r="AD9" s="61">
        <v>198</v>
      </c>
      <c r="AE9" s="62">
        <f aca="true" t="shared" si="12" ref="AE9:AE55">IF(AF9="","",RANK(AF9,AF$9:AF$55))</f>
        <v>7</v>
      </c>
      <c r="AF9" s="61">
        <v>75.9</v>
      </c>
      <c r="AG9" s="62">
        <f aca="true" t="shared" si="13" ref="AG9:AG55">IF(AH9="","",RANK(AH9,AH$9:AH$55))</f>
        <v>8</v>
      </c>
      <c r="AH9" s="61">
        <v>74.1</v>
      </c>
      <c r="AI9" s="199" t="s">
        <v>72</v>
      </c>
    </row>
    <row r="10" spans="1:35" ht="15" customHeight="1">
      <c r="A10" s="201" t="s">
        <v>10</v>
      </c>
      <c r="B10" s="202">
        <f t="shared" si="0"/>
        <v>14</v>
      </c>
      <c r="C10" s="63">
        <v>1436.7</v>
      </c>
      <c r="D10" s="64">
        <f t="shared" si="1"/>
        <v>40</v>
      </c>
      <c r="E10" s="63">
        <v>82.3</v>
      </c>
      <c r="F10" s="64">
        <f t="shared" si="2"/>
        <v>33</v>
      </c>
      <c r="G10" s="63">
        <v>91.7</v>
      </c>
      <c r="H10" s="64">
        <f aca="true" t="shared" si="14" ref="H10:H55">IF(I10="・","",RANK(I10,I$9:I$55))</f>
      </c>
      <c r="I10" s="63" t="s">
        <v>218</v>
      </c>
      <c r="J10" s="64">
        <f t="shared" si="3"/>
        <v>41</v>
      </c>
      <c r="K10" s="63">
        <v>80.5</v>
      </c>
      <c r="L10" s="64">
        <f t="shared" si="4"/>
        <v>41</v>
      </c>
      <c r="M10" s="63">
        <v>79.3</v>
      </c>
      <c r="N10" s="64">
        <f t="shared" si="5"/>
        <v>26</v>
      </c>
      <c r="O10" s="63">
        <v>82.6</v>
      </c>
      <c r="P10" s="64">
        <f t="shared" si="5"/>
        <v>37</v>
      </c>
      <c r="Q10" s="63">
        <v>86.2</v>
      </c>
      <c r="R10" s="63"/>
      <c r="S10" s="64">
        <f t="shared" si="6"/>
        <v>19</v>
      </c>
      <c r="T10" s="257">
        <v>0.2</v>
      </c>
      <c r="U10" s="64">
        <f t="shared" si="7"/>
        <v>39</v>
      </c>
      <c r="V10" s="63">
        <v>25.8</v>
      </c>
      <c r="W10" s="64">
        <f t="shared" si="8"/>
        <v>19</v>
      </c>
      <c r="X10" s="63">
        <v>84.6</v>
      </c>
      <c r="Y10" s="64">
        <f t="shared" si="9"/>
        <v>33</v>
      </c>
      <c r="Z10" s="259">
        <v>35.8</v>
      </c>
      <c r="AA10" s="64">
        <f t="shared" si="10"/>
        <v>41</v>
      </c>
      <c r="AB10" s="63">
        <v>174.5</v>
      </c>
      <c r="AC10" s="64">
        <f t="shared" si="11"/>
        <v>41</v>
      </c>
      <c r="AD10" s="63">
        <v>164.8</v>
      </c>
      <c r="AE10" s="64">
        <f t="shared" si="12"/>
        <v>42</v>
      </c>
      <c r="AF10" s="63">
        <v>51.6</v>
      </c>
      <c r="AG10" s="64">
        <f t="shared" si="13"/>
        <v>42</v>
      </c>
      <c r="AH10" s="63">
        <v>50.7</v>
      </c>
      <c r="AI10" s="204" t="s">
        <v>73</v>
      </c>
    </row>
    <row r="11" spans="1:35" ht="15" customHeight="1">
      <c r="A11" s="201" t="s">
        <v>11</v>
      </c>
      <c r="B11" s="202">
        <f t="shared" si="0"/>
        <v>12</v>
      </c>
      <c r="C11" s="63">
        <v>1511.6</v>
      </c>
      <c r="D11" s="64">
        <f t="shared" si="1"/>
        <v>35</v>
      </c>
      <c r="E11" s="63">
        <v>83.4</v>
      </c>
      <c r="F11" s="64">
        <f t="shared" si="2"/>
        <v>15</v>
      </c>
      <c r="G11" s="63">
        <v>95.1</v>
      </c>
      <c r="H11" s="64">
        <f t="shared" si="14"/>
      </c>
      <c r="I11" s="63" t="s">
        <v>218</v>
      </c>
      <c r="J11" s="64">
        <f t="shared" si="3"/>
        <v>39</v>
      </c>
      <c r="K11" s="63">
        <v>80.7</v>
      </c>
      <c r="L11" s="64">
        <f t="shared" si="4"/>
        <v>24</v>
      </c>
      <c r="M11" s="63">
        <v>83.5</v>
      </c>
      <c r="N11" s="64">
        <f t="shared" si="5"/>
        <v>45</v>
      </c>
      <c r="O11" s="63">
        <v>77.4</v>
      </c>
      <c r="P11" s="64">
        <f t="shared" si="5"/>
        <v>43</v>
      </c>
      <c r="Q11" s="63">
        <v>83.7</v>
      </c>
      <c r="R11" s="63"/>
      <c r="S11" s="64">
        <f t="shared" si="6"/>
        <v>29</v>
      </c>
      <c r="T11" s="257">
        <v>0</v>
      </c>
      <c r="U11" s="64">
        <f t="shared" si="7"/>
        <v>45</v>
      </c>
      <c r="V11" s="63">
        <v>19.4</v>
      </c>
      <c r="W11" s="64">
        <f t="shared" si="8"/>
        <v>45</v>
      </c>
      <c r="X11" s="63">
        <v>79.3</v>
      </c>
      <c r="Y11" s="64">
        <f t="shared" si="9"/>
        <v>22</v>
      </c>
      <c r="Z11" s="259">
        <v>38.4</v>
      </c>
      <c r="AA11" s="64">
        <f t="shared" si="10"/>
        <v>40</v>
      </c>
      <c r="AB11" s="63">
        <v>174.6</v>
      </c>
      <c r="AC11" s="64">
        <f t="shared" si="11"/>
        <v>39</v>
      </c>
      <c r="AD11" s="63">
        <v>166.1</v>
      </c>
      <c r="AE11" s="64">
        <f t="shared" si="12"/>
        <v>12</v>
      </c>
      <c r="AF11" s="63">
        <v>71.3</v>
      </c>
      <c r="AG11" s="64">
        <f t="shared" si="13"/>
        <v>12</v>
      </c>
      <c r="AH11" s="63">
        <v>68.8</v>
      </c>
      <c r="AI11" s="204" t="s">
        <v>74</v>
      </c>
    </row>
    <row r="12" spans="1:35" ht="15" customHeight="1">
      <c r="A12" s="201" t="s">
        <v>12</v>
      </c>
      <c r="B12" s="202">
        <f t="shared" si="0"/>
        <v>43</v>
      </c>
      <c r="C12" s="63">
        <v>1078</v>
      </c>
      <c r="D12" s="64">
        <f t="shared" si="1"/>
        <v>46</v>
      </c>
      <c r="E12" s="63">
        <v>80.6</v>
      </c>
      <c r="F12" s="64">
        <f t="shared" si="2"/>
        <v>35</v>
      </c>
      <c r="G12" s="63">
        <v>91.5</v>
      </c>
      <c r="H12" s="64">
        <f t="shared" si="14"/>
      </c>
      <c r="I12" s="63" t="s">
        <v>218</v>
      </c>
      <c r="J12" s="64">
        <f t="shared" si="3"/>
        <v>46</v>
      </c>
      <c r="K12" s="63">
        <v>78.2</v>
      </c>
      <c r="L12" s="64">
        <f t="shared" si="4"/>
        <v>47</v>
      </c>
      <c r="M12" s="63">
        <v>77</v>
      </c>
      <c r="N12" s="64">
        <f t="shared" si="5"/>
        <v>39</v>
      </c>
      <c r="O12" s="63">
        <v>80.5</v>
      </c>
      <c r="P12" s="64">
        <f t="shared" si="5"/>
        <v>36</v>
      </c>
      <c r="Q12" s="63">
        <v>87.1</v>
      </c>
      <c r="R12" s="63"/>
      <c r="S12" s="64">
        <f t="shared" si="6"/>
        <v>8</v>
      </c>
      <c r="T12" s="257">
        <v>5.1</v>
      </c>
      <c r="U12" s="64">
        <f t="shared" si="7"/>
        <v>33</v>
      </c>
      <c r="V12" s="63">
        <v>32.8</v>
      </c>
      <c r="W12" s="64">
        <f t="shared" si="8"/>
        <v>31</v>
      </c>
      <c r="X12" s="63">
        <v>81.7</v>
      </c>
      <c r="Y12" s="64">
        <f t="shared" si="9"/>
        <v>11</v>
      </c>
      <c r="Z12" s="259">
        <v>43.5</v>
      </c>
      <c r="AA12" s="64">
        <f t="shared" si="10"/>
        <v>28</v>
      </c>
      <c r="AB12" s="63">
        <v>194.9</v>
      </c>
      <c r="AC12" s="64">
        <f t="shared" si="11"/>
        <v>30</v>
      </c>
      <c r="AD12" s="63">
        <v>183.5</v>
      </c>
      <c r="AE12" s="64">
        <f t="shared" si="12"/>
        <v>13</v>
      </c>
      <c r="AF12" s="63">
        <v>70.2</v>
      </c>
      <c r="AG12" s="64">
        <f t="shared" si="13"/>
        <v>13</v>
      </c>
      <c r="AH12" s="63">
        <v>67.4</v>
      </c>
      <c r="AI12" s="204" t="s">
        <v>75</v>
      </c>
    </row>
    <row r="13" spans="1:35" ht="15" customHeight="1">
      <c r="A13" s="201" t="s">
        <v>13</v>
      </c>
      <c r="B13" s="202">
        <f t="shared" si="0"/>
        <v>5</v>
      </c>
      <c r="C13" s="63">
        <v>1716.1</v>
      </c>
      <c r="D13" s="64">
        <f t="shared" si="1"/>
        <v>17</v>
      </c>
      <c r="E13" s="63">
        <v>86.2</v>
      </c>
      <c r="F13" s="64">
        <f t="shared" si="2"/>
        <v>10</v>
      </c>
      <c r="G13" s="63">
        <v>95.6</v>
      </c>
      <c r="H13" s="64">
        <f t="shared" si="14"/>
      </c>
      <c r="I13" s="63" t="s">
        <v>218</v>
      </c>
      <c r="J13" s="64">
        <f t="shared" si="3"/>
        <v>20</v>
      </c>
      <c r="K13" s="63">
        <v>84</v>
      </c>
      <c r="L13" s="64">
        <f t="shared" si="4"/>
        <v>19</v>
      </c>
      <c r="M13" s="63">
        <v>84.3</v>
      </c>
      <c r="N13" s="64">
        <f t="shared" si="5"/>
        <v>19</v>
      </c>
      <c r="O13" s="63">
        <v>83.7</v>
      </c>
      <c r="P13" s="64">
        <f t="shared" si="5"/>
        <v>28</v>
      </c>
      <c r="Q13" s="63">
        <v>89.6</v>
      </c>
      <c r="R13" s="63"/>
      <c r="S13" s="64">
        <f t="shared" si="6"/>
        <v>22</v>
      </c>
      <c r="T13" s="257">
        <v>0.1</v>
      </c>
      <c r="U13" s="64">
        <f t="shared" si="7"/>
        <v>41</v>
      </c>
      <c r="V13" s="63">
        <v>22.9</v>
      </c>
      <c r="W13" s="64">
        <f t="shared" si="8"/>
        <v>17</v>
      </c>
      <c r="X13" s="63">
        <v>84.7</v>
      </c>
      <c r="Y13" s="64">
        <f t="shared" si="9"/>
        <v>21</v>
      </c>
      <c r="Z13" s="259">
        <v>39.5</v>
      </c>
      <c r="AA13" s="64">
        <f t="shared" si="10"/>
        <v>33</v>
      </c>
      <c r="AB13" s="63">
        <v>188.5</v>
      </c>
      <c r="AC13" s="64">
        <f t="shared" si="11"/>
        <v>34</v>
      </c>
      <c r="AD13" s="63">
        <v>178.4</v>
      </c>
      <c r="AE13" s="64">
        <f t="shared" si="12"/>
        <v>41</v>
      </c>
      <c r="AF13" s="63">
        <v>52.9</v>
      </c>
      <c r="AG13" s="64">
        <f t="shared" si="13"/>
        <v>40</v>
      </c>
      <c r="AH13" s="63">
        <v>51.5</v>
      </c>
      <c r="AI13" s="204" t="s">
        <v>76</v>
      </c>
    </row>
    <row r="14" spans="1:35" s="200" customFormat="1" ht="30" customHeight="1">
      <c r="A14" s="196" t="s">
        <v>14</v>
      </c>
      <c r="B14" s="197">
        <f t="shared" si="0"/>
        <v>31</v>
      </c>
      <c r="C14" s="61">
        <v>1285.1</v>
      </c>
      <c r="D14" s="62">
        <f t="shared" si="1"/>
        <v>24</v>
      </c>
      <c r="E14" s="61">
        <v>85.2</v>
      </c>
      <c r="F14" s="62">
        <f t="shared" si="2"/>
        <v>7</v>
      </c>
      <c r="G14" s="61">
        <v>95.9</v>
      </c>
      <c r="H14" s="62">
        <f t="shared" si="14"/>
      </c>
      <c r="I14" s="61" t="s">
        <v>218</v>
      </c>
      <c r="J14" s="62">
        <f t="shared" si="3"/>
        <v>29</v>
      </c>
      <c r="K14" s="61">
        <v>82.2</v>
      </c>
      <c r="L14" s="62">
        <f t="shared" si="4"/>
        <v>35</v>
      </c>
      <c r="M14" s="61">
        <v>81.2</v>
      </c>
      <c r="N14" s="62">
        <f t="shared" si="5"/>
        <v>16</v>
      </c>
      <c r="O14" s="61">
        <v>84.3</v>
      </c>
      <c r="P14" s="62">
        <f t="shared" si="5"/>
        <v>33</v>
      </c>
      <c r="Q14" s="61">
        <v>88.7</v>
      </c>
      <c r="R14" s="61"/>
      <c r="S14" s="62">
        <f t="shared" si="6"/>
        <v>15</v>
      </c>
      <c r="T14" s="257">
        <v>0.3</v>
      </c>
      <c r="U14" s="62">
        <f t="shared" si="7"/>
        <v>1</v>
      </c>
      <c r="V14" s="61">
        <v>73.1</v>
      </c>
      <c r="W14" s="62">
        <f t="shared" si="8"/>
        <v>17</v>
      </c>
      <c r="X14" s="61">
        <v>84.7</v>
      </c>
      <c r="Y14" s="62">
        <f t="shared" si="9"/>
        <v>37</v>
      </c>
      <c r="Z14" s="258">
        <v>35.1</v>
      </c>
      <c r="AA14" s="62">
        <f t="shared" si="10"/>
        <v>31</v>
      </c>
      <c r="AB14" s="61">
        <v>193</v>
      </c>
      <c r="AC14" s="62">
        <f t="shared" si="11"/>
        <v>33</v>
      </c>
      <c r="AD14" s="61">
        <v>179.4</v>
      </c>
      <c r="AE14" s="62">
        <f t="shared" si="12"/>
        <v>44</v>
      </c>
      <c r="AF14" s="61">
        <v>51.3</v>
      </c>
      <c r="AG14" s="62">
        <f t="shared" si="13"/>
        <v>45</v>
      </c>
      <c r="AH14" s="61">
        <v>49.3</v>
      </c>
      <c r="AI14" s="199" t="s">
        <v>77</v>
      </c>
    </row>
    <row r="15" spans="1:35" ht="15" customHeight="1">
      <c r="A15" s="201" t="s">
        <v>15</v>
      </c>
      <c r="B15" s="202">
        <f t="shared" si="0"/>
        <v>29</v>
      </c>
      <c r="C15" s="63">
        <v>1294</v>
      </c>
      <c r="D15" s="64">
        <f t="shared" si="1"/>
        <v>47</v>
      </c>
      <c r="E15" s="63">
        <v>80.3</v>
      </c>
      <c r="F15" s="64">
        <f t="shared" si="2"/>
        <v>36</v>
      </c>
      <c r="G15" s="63">
        <v>91.2</v>
      </c>
      <c r="H15" s="64">
        <f t="shared" si="14"/>
      </c>
      <c r="I15" s="63" t="s">
        <v>218</v>
      </c>
      <c r="J15" s="64">
        <f t="shared" si="3"/>
        <v>47</v>
      </c>
      <c r="K15" s="63">
        <v>77.5</v>
      </c>
      <c r="L15" s="64">
        <f t="shared" si="4"/>
        <v>45</v>
      </c>
      <c r="M15" s="63">
        <v>77.8</v>
      </c>
      <c r="N15" s="64">
        <f t="shared" si="5"/>
        <v>47</v>
      </c>
      <c r="O15" s="63">
        <v>76.8</v>
      </c>
      <c r="P15" s="64">
        <f t="shared" si="5"/>
        <v>40</v>
      </c>
      <c r="Q15" s="63">
        <v>84</v>
      </c>
      <c r="R15" s="63"/>
      <c r="S15" s="64">
        <f t="shared" si="6"/>
        <v>29</v>
      </c>
      <c r="T15" s="257">
        <v>0</v>
      </c>
      <c r="U15" s="64">
        <f t="shared" si="7"/>
        <v>40</v>
      </c>
      <c r="V15" s="63">
        <v>24</v>
      </c>
      <c r="W15" s="64">
        <f t="shared" si="8"/>
        <v>47</v>
      </c>
      <c r="X15" s="63">
        <v>77.9</v>
      </c>
      <c r="Y15" s="64">
        <f t="shared" si="9"/>
        <v>27</v>
      </c>
      <c r="Z15" s="259">
        <v>37.2</v>
      </c>
      <c r="AA15" s="64">
        <f t="shared" si="10"/>
        <v>38</v>
      </c>
      <c r="AB15" s="63">
        <v>177.7</v>
      </c>
      <c r="AC15" s="64">
        <f t="shared" si="11"/>
        <v>38</v>
      </c>
      <c r="AD15" s="63">
        <v>170.4</v>
      </c>
      <c r="AE15" s="64">
        <f t="shared" si="12"/>
        <v>24</v>
      </c>
      <c r="AF15" s="63">
        <v>61.3</v>
      </c>
      <c r="AG15" s="64">
        <f t="shared" si="13"/>
        <v>23</v>
      </c>
      <c r="AH15" s="63">
        <v>60.5</v>
      </c>
      <c r="AI15" s="204" t="s">
        <v>78</v>
      </c>
    </row>
    <row r="16" spans="1:35" ht="15" customHeight="1">
      <c r="A16" s="201" t="s">
        <v>16</v>
      </c>
      <c r="B16" s="202">
        <f t="shared" si="0"/>
        <v>34</v>
      </c>
      <c r="C16" s="63">
        <v>1237.4</v>
      </c>
      <c r="D16" s="64">
        <f t="shared" si="1"/>
        <v>42</v>
      </c>
      <c r="E16" s="63">
        <v>81.6</v>
      </c>
      <c r="F16" s="64">
        <f t="shared" si="2"/>
        <v>44</v>
      </c>
      <c r="G16" s="63">
        <v>89.7</v>
      </c>
      <c r="H16" s="64">
        <f t="shared" si="14"/>
      </c>
      <c r="I16" s="63" t="s">
        <v>218</v>
      </c>
      <c r="J16" s="64">
        <f t="shared" si="3"/>
        <v>42</v>
      </c>
      <c r="K16" s="63">
        <v>80.2</v>
      </c>
      <c r="L16" s="64">
        <f t="shared" si="4"/>
        <v>43</v>
      </c>
      <c r="M16" s="63">
        <v>79.1</v>
      </c>
      <c r="N16" s="64">
        <f t="shared" si="5"/>
        <v>31</v>
      </c>
      <c r="O16" s="63">
        <v>81.8</v>
      </c>
      <c r="P16" s="64">
        <f t="shared" si="5"/>
        <v>12</v>
      </c>
      <c r="Q16" s="63">
        <v>94.1</v>
      </c>
      <c r="R16" s="63"/>
      <c r="S16" s="64">
        <f t="shared" si="6"/>
        <v>22</v>
      </c>
      <c r="T16" s="257">
        <v>0.1</v>
      </c>
      <c r="U16" s="64">
        <f t="shared" si="7"/>
        <v>21</v>
      </c>
      <c r="V16" s="63">
        <v>41</v>
      </c>
      <c r="W16" s="64">
        <f t="shared" si="8"/>
        <v>44</v>
      </c>
      <c r="X16" s="63">
        <v>79.4</v>
      </c>
      <c r="Y16" s="64">
        <f t="shared" si="9"/>
        <v>35</v>
      </c>
      <c r="Z16" s="259">
        <v>35.4</v>
      </c>
      <c r="AA16" s="64">
        <f t="shared" si="10"/>
        <v>46</v>
      </c>
      <c r="AB16" s="63">
        <v>144.2</v>
      </c>
      <c r="AC16" s="64">
        <f t="shared" si="11"/>
        <v>46</v>
      </c>
      <c r="AD16" s="63">
        <v>136.6</v>
      </c>
      <c r="AE16" s="64">
        <f t="shared" si="12"/>
        <v>37</v>
      </c>
      <c r="AF16" s="63">
        <v>56.3</v>
      </c>
      <c r="AG16" s="64">
        <f t="shared" si="13"/>
        <v>36</v>
      </c>
      <c r="AH16" s="63">
        <v>56</v>
      </c>
      <c r="AI16" s="204" t="s">
        <v>79</v>
      </c>
    </row>
    <row r="17" spans="1:35" ht="15" customHeight="1">
      <c r="A17" s="201" t="s">
        <v>17</v>
      </c>
      <c r="B17" s="202">
        <f t="shared" si="0"/>
        <v>41</v>
      </c>
      <c r="C17" s="63">
        <v>1160.6</v>
      </c>
      <c r="D17" s="64">
        <f t="shared" si="1"/>
        <v>30</v>
      </c>
      <c r="E17" s="63">
        <v>83.7</v>
      </c>
      <c r="F17" s="64">
        <f t="shared" si="2"/>
        <v>23</v>
      </c>
      <c r="G17" s="63">
        <v>94.4</v>
      </c>
      <c r="H17" s="64">
        <f t="shared" si="14"/>
      </c>
      <c r="I17" s="63" t="s">
        <v>218</v>
      </c>
      <c r="J17" s="64">
        <f t="shared" si="3"/>
        <v>33</v>
      </c>
      <c r="K17" s="63">
        <v>81.7</v>
      </c>
      <c r="L17" s="64">
        <f t="shared" si="4"/>
        <v>21</v>
      </c>
      <c r="M17" s="63">
        <v>84.2</v>
      </c>
      <c r="N17" s="64">
        <f t="shared" si="5"/>
        <v>44</v>
      </c>
      <c r="O17" s="63">
        <v>78.2</v>
      </c>
      <c r="P17" s="64">
        <f t="shared" si="5"/>
        <v>46</v>
      </c>
      <c r="Q17" s="63">
        <v>81.1</v>
      </c>
      <c r="R17" s="63"/>
      <c r="S17" s="64">
        <f t="shared" si="6"/>
        <v>22</v>
      </c>
      <c r="T17" s="257">
        <v>0.1</v>
      </c>
      <c r="U17" s="64">
        <f t="shared" si="7"/>
        <v>29</v>
      </c>
      <c r="V17" s="63">
        <v>35.4</v>
      </c>
      <c r="W17" s="64">
        <f t="shared" si="8"/>
        <v>46</v>
      </c>
      <c r="X17" s="63">
        <v>79.1</v>
      </c>
      <c r="Y17" s="64">
        <f t="shared" si="9"/>
        <v>36</v>
      </c>
      <c r="Z17" s="259">
        <v>35.2</v>
      </c>
      <c r="AA17" s="64">
        <f t="shared" si="10"/>
        <v>29</v>
      </c>
      <c r="AB17" s="63">
        <v>194.8</v>
      </c>
      <c r="AC17" s="64">
        <f t="shared" si="11"/>
        <v>29</v>
      </c>
      <c r="AD17" s="63">
        <v>186</v>
      </c>
      <c r="AE17" s="64">
        <f t="shared" si="12"/>
        <v>20</v>
      </c>
      <c r="AF17" s="63">
        <v>63.5</v>
      </c>
      <c r="AG17" s="64">
        <f t="shared" si="13"/>
        <v>20</v>
      </c>
      <c r="AH17" s="63">
        <v>62.7</v>
      </c>
      <c r="AI17" s="204" t="s">
        <v>80</v>
      </c>
    </row>
    <row r="18" spans="1:35" ht="15" customHeight="1">
      <c r="A18" s="201" t="s">
        <v>18</v>
      </c>
      <c r="B18" s="202">
        <f t="shared" si="0"/>
        <v>37</v>
      </c>
      <c r="C18" s="63">
        <v>1207.5</v>
      </c>
      <c r="D18" s="64">
        <f t="shared" si="1"/>
        <v>32</v>
      </c>
      <c r="E18" s="63">
        <v>83.5</v>
      </c>
      <c r="F18" s="64">
        <f t="shared" si="2"/>
        <v>31</v>
      </c>
      <c r="G18" s="63">
        <v>92</v>
      </c>
      <c r="H18" s="64">
        <f t="shared" si="14"/>
      </c>
      <c r="I18" s="63" t="s">
        <v>218</v>
      </c>
      <c r="J18" s="64">
        <f t="shared" si="3"/>
        <v>31</v>
      </c>
      <c r="K18" s="63">
        <v>82</v>
      </c>
      <c r="L18" s="64">
        <f t="shared" si="4"/>
        <v>37</v>
      </c>
      <c r="M18" s="63">
        <v>80.7</v>
      </c>
      <c r="N18" s="64">
        <f t="shared" si="5"/>
        <v>13</v>
      </c>
      <c r="O18" s="63">
        <v>84.7</v>
      </c>
      <c r="P18" s="64">
        <f t="shared" si="5"/>
        <v>3</v>
      </c>
      <c r="Q18" s="63">
        <v>96.6</v>
      </c>
      <c r="R18" s="63"/>
      <c r="S18" s="64">
        <f t="shared" si="6"/>
        <v>7</v>
      </c>
      <c r="T18" s="257">
        <v>6.3</v>
      </c>
      <c r="U18" s="64">
        <f t="shared" si="7"/>
        <v>11</v>
      </c>
      <c r="V18" s="63">
        <v>50.9</v>
      </c>
      <c r="W18" s="64">
        <f t="shared" si="8"/>
        <v>28</v>
      </c>
      <c r="X18" s="63">
        <v>82.4</v>
      </c>
      <c r="Y18" s="64">
        <f t="shared" si="9"/>
        <v>40</v>
      </c>
      <c r="Z18" s="259">
        <v>32.1</v>
      </c>
      <c r="AA18" s="64">
        <f t="shared" si="10"/>
        <v>26</v>
      </c>
      <c r="AB18" s="63">
        <v>200.3</v>
      </c>
      <c r="AC18" s="64">
        <f t="shared" si="11"/>
        <v>26</v>
      </c>
      <c r="AD18" s="63">
        <v>190.7</v>
      </c>
      <c r="AE18" s="64">
        <f t="shared" si="12"/>
        <v>28</v>
      </c>
      <c r="AF18" s="63">
        <v>60</v>
      </c>
      <c r="AG18" s="64">
        <f t="shared" si="13"/>
        <v>27</v>
      </c>
      <c r="AH18" s="63">
        <v>59.5</v>
      </c>
      <c r="AI18" s="204" t="s">
        <v>81</v>
      </c>
    </row>
    <row r="19" spans="1:35" s="200" customFormat="1" ht="30" customHeight="1">
      <c r="A19" s="196" t="s">
        <v>19</v>
      </c>
      <c r="B19" s="197">
        <f t="shared" si="0"/>
        <v>46</v>
      </c>
      <c r="C19" s="61">
        <v>1019.1</v>
      </c>
      <c r="D19" s="62">
        <f t="shared" si="1"/>
        <v>25</v>
      </c>
      <c r="E19" s="61">
        <v>84.9</v>
      </c>
      <c r="F19" s="62">
        <f t="shared" si="2"/>
        <v>26</v>
      </c>
      <c r="G19" s="61">
        <v>94.2</v>
      </c>
      <c r="H19" s="62">
        <f t="shared" si="14"/>
      </c>
      <c r="I19" s="61" t="s">
        <v>218</v>
      </c>
      <c r="J19" s="62">
        <f t="shared" si="3"/>
        <v>26</v>
      </c>
      <c r="K19" s="61">
        <v>83</v>
      </c>
      <c r="L19" s="62">
        <f t="shared" si="4"/>
        <v>32</v>
      </c>
      <c r="M19" s="61">
        <v>82.3</v>
      </c>
      <c r="N19" s="62">
        <f t="shared" si="5"/>
        <v>9</v>
      </c>
      <c r="O19" s="61">
        <v>86</v>
      </c>
      <c r="P19" s="62">
        <f t="shared" si="5"/>
        <v>8</v>
      </c>
      <c r="Q19" s="61">
        <v>95.6</v>
      </c>
      <c r="R19" s="61"/>
      <c r="S19" s="62">
        <f t="shared" si="6"/>
        <v>6</v>
      </c>
      <c r="T19" s="257">
        <v>8</v>
      </c>
      <c r="U19" s="62">
        <f t="shared" si="7"/>
        <v>6</v>
      </c>
      <c r="V19" s="61">
        <v>59.4</v>
      </c>
      <c r="W19" s="62">
        <f t="shared" si="8"/>
        <v>20</v>
      </c>
      <c r="X19" s="61">
        <v>84.5</v>
      </c>
      <c r="Y19" s="62">
        <f t="shared" si="9"/>
        <v>44</v>
      </c>
      <c r="Z19" s="258">
        <v>30.5</v>
      </c>
      <c r="AA19" s="62">
        <f t="shared" si="10"/>
        <v>47</v>
      </c>
      <c r="AB19" s="61">
        <v>127.6</v>
      </c>
      <c r="AC19" s="62">
        <f t="shared" si="11"/>
        <v>47</v>
      </c>
      <c r="AD19" s="61">
        <v>121.8</v>
      </c>
      <c r="AE19" s="62">
        <f t="shared" si="12"/>
        <v>25</v>
      </c>
      <c r="AF19" s="61">
        <v>60.8</v>
      </c>
      <c r="AG19" s="62">
        <f t="shared" si="13"/>
        <v>25</v>
      </c>
      <c r="AH19" s="61">
        <v>59.8</v>
      </c>
      <c r="AI19" s="199" t="s">
        <v>82</v>
      </c>
    </row>
    <row r="20" spans="1:35" ht="15" customHeight="1">
      <c r="A20" s="201" t="s">
        <v>20</v>
      </c>
      <c r="B20" s="202">
        <f t="shared" si="0"/>
        <v>45</v>
      </c>
      <c r="C20" s="63">
        <v>1045.7</v>
      </c>
      <c r="D20" s="64">
        <f t="shared" si="1"/>
        <v>36</v>
      </c>
      <c r="E20" s="63">
        <v>83.1</v>
      </c>
      <c r="F20" s="64">
        <f t="shared" si="2"/>
        <v>26</v>
      </c>
      <c r="G20" s="63">
        <v>94.2</v>
      </c>
      <c r="H20" s="64">
        <f t="shared" si="14"/>
      </c>
      <c r="I20" s="63" t="s">
        <v>218</v>
      </c>
      <c r="J20" s="64">
        <f t="shared" si="3"/>
        <v>38</v>
      </c>
      <c r="K20" s="63">
        <v>80.9</v>
      </c>
      <c r="L20" s="64">
        <f t="shared" si="4"/>
        <v>38</v>
      </c>
      <c r="M20" s="63">
        <v>80.3</v>
      </c>
      <c r="N20" s="64">
        <f t="shared" si="5"/>
        <v>29</v>
      </c>
      <c r="O20" s="63">
        <v>82.2</v>
      </c>
      <c r="P20" s="64">
        <f t="shared" si="5"/>
        <v>28</v>
      </c>
      <c r="Q20" s="63">
        <v>89.6</v>
      </c>
      <c r="R20" s="63"/>
      <c r="S20" s="64">
        <f t="shared" si="6"/>
        <v>10</v>
      </c>
      <c r="T20" s="257">
        <v>1.4</v>
      </c>
      <c r="U20" s="64">
        <f t="shared" si="7"/>
        <v>13</v>
      </c>
      <c r="V20" s="63">
        <v>50.4</v>
      </c>
      <c r="W20" s="64">
        <f t="shared" si="8"/>
        <v>31</v>
      </c>
      <c r="X20" s="63">
        <v>81.7</v>
      </c>
      <c r="Y20" s="64">
        <f t="shared" si="9"/>
        <v>38</v>
      </c>
      <c r="Z20" s="259">
        <v>34</v>
      </c>
      <c r="AA20" s="64">
        <f t="shared" si="10"/>
        <v>45</v>
      </c>
      <c r="AB20" s="63">
        <v>147.5</v>
      </c>
      <c r="AC20" s="64">
        <f t="shared" si="11"/>
        <v>45</v>
      </c>
      <c r="AD20" s="63">
        <v>141.9</v>
      </c>
      <c r="AE20" s="64">
        <f t="shared" si="12"/>
        <v>9</v>
      </c>
      <c r="AF20" s="63">
        <v>72.6</v>
      </c>
      <c r="AG20" s="64">
        <f t="shared" si="13"/>
        <v>10</v>
      </c>
      <c r="AH20" s="63">
        <v>70.5</v>
      </c>
      <c r="AI20" s="204" t="s">
        <v>83</v>
      </c>
    </row>
    <row r="21" spans="1:35" ht="15" customHeight="1">
      <c r="A21" s="201" t="s">
        <v>21</v>
      </c>
      <c r="B21" s="202">
        <f t="shared" si="0"/>
        <v>26</v>
      </c>
      <c r="C21" s="63">
        <v>1325.8</v>
      </c>
      <c r="D21" s="64">
        <f t="shared" si="1"/>
        <v>41</v>
      </c>
      <c r="E21" s="63">
        <v>82</v>
      </c>
      <c r="F21" s="64">
        <f t="shared" si="2"/>
        <v>31</v>
      </c>
      <c r="G21" s="63">
        <v>92</v>
      </c>
      <c r="H21" s="64">
        <f t="shared" si="14"/>
      </c>
      <c r="I21" s="63" t="s">
        <v>218</v>
      </c>
      <c r="J21" s="64">
        <f t="shared" si="3"/>
        <v>39</v>
      </c>
      <c r="K21" s="63">
        <v>80.7</v>
      </c>
      <c r="L21" s="64">
        <f t="shared" si="4"/>
        <v>39</v>
      </c>
      <c r="M21" s="63">
        <v>80.2</v>
      </c>
      <c r="N21" s="64">
        <f t="shared" si="5"/>
        <v>33</v>
      </c>
      <c r="O21" s="63">
        <v>81.5</v>
      </c>
      <c r="P21" s="64">
        <f t="shared" si="5"/>
        <v>35</v>
      </c>
      <c r="Q21" s="63">
        <v>87.3</v>
      </c>
      <c r="R21" s="63"/>
      <c r="S21" s="64">
        <f t="shared" si="6"/>
        <v>9</v>
      </c>
      <c r="T21" s="257">
        <v>2.2</v>
      </c>
      <c r="U21" s="64">
        <f t="shared" si="7"/>
        <v>4</v>
      </c>
      <c r="V21" s="63">
        <v>66.2</v>
      </c>
      <c r="W21" s="64">
        <f t="shared" si="8"/>
        <v>38</v>
      </c>
      <c r="X21" s="63">
        <v>80.6</v>
      </c>
      <c r="Y21" s="64">
        <f t="shared" si="9"/>
        <v>7</v>
      </c>
      <c r="Z21" s="259">
        <v>45.8</v>
      </c>
      <c r="AA21" s="64">
        <f t="shared" si="10"/>
        <v>5</v>
      </c>
      <c r="AB21" s="63">
        <v>267.6</v>
      </c>
      <c r="AC21" s="64">
        <f t="shared" si="11"/>
        <v>4</v>
      </c>
      <c r="AD21" s="63">
        <v>253.7</v>
      </c>
      <c r="AE21" s="64">
        <f t="shared" si="12"/>
        <v>1</v>
      </c>
      <c r="AF21" s="63">
        <v>123.2</v>
      </c>
      <c r="AG21" s="64">
        <f t="shared" si="13"/>
        <v>1</v>
      </c>
      <c r="AH21" s="63">
        <v>119.9</v>
      </c>
      <c r="AI21" s="204" t="s">
        <v>84</v>
      </c>
    </row>
    <row r="22" spans="1:35" ht="15" customHeight="1">
      <c r="A22" s="201" t="s">
        <v>22</v>
      </c>
      <c r="B22" s="202">
        <f t="shared" si="0"/>
        <v>44</v>
      </c>
      <c r="C22" s="63">
        <v>1077.7</v>
      </c>
      <c r="D22" s="64">
        <f t="shared" si="1"/>
        <v>37</v>
      </c>
      <c r="E22" s="63">
        <v>83</v>
      </c>
      <c r="F22" s="64">
        <f t="shared" si="2"/>
        <v>30</v>
      </c>
      <c r="G22" s="63">
        <v>92.2</v>
      </c>
      <c r="H22" s="64">
        <f t="shared" si="14"/>
      </c>
      <c r="I22" s="63" t="s">
        <v>218</v>
      </c>
      <c r="J22" s="64">
        <f t="shared" si="3"/>
        <v>35</v>
      </c>
      <c r="K22" s="63">
        <v>81.3</v>
      </c>
      <c r="L22" s="64">
        <f t="shared" si="4"/>
        <v>34</v>
      </c>
      <c r="M22" s="63">
        <v>81.4</v>
      </c>
      <c r="N22" s="64">
        <f t="shared" si="5"/>
        <v>36</v>
      </c>
      <c r="O22" s="63">
        <v>80.9</v>
      </c>
      <c r="P22" s="64">
        <f t="shared" si="5"/>
        <v>39</v>
      </c>
      <c r="Q22" s="63">
        <v>85.9</v>
      </c>
      <c r="R22" s="63"/>
      <c r="S22" s="64">
        <f t="shared" si="6"/>
        <v>4</v>
      </c>
      <c r="T22" s="257">
        <v>11.6</v>
      </c>
      <c r="U22" s="64">
        <f t="shared" si="7"/>
        <v>2</v>
      </c>
      <c r="V22" s="63">
        <v>67.6</v>
      </c>
      <c r="W22" s="64">
        <f t="shared" si="8"/>
        <v>36</v>
      </c>
      <c r="X22" s="63">
        <v>80.9</v>
      </c>
      <c r="Y22" s="64">
        <f t="shared" si="9"/>
        <v>32</v>
      </c>
      <c r="Z22" s="259">
        <v>36.7</v>
      </c>
      <c r="AA22" s="64">
        <f t="shared" si="10"/>
        <v>43</v>
      </c>
      <c r="AB22" s="63">
        <v>168.2</v>
      </c>
      <c r="AC22" s="64">
        <f t="shared" si="11"/>
        <v>43</v>
      </c>
      <c r="AD22" s="63">
        <v>162.2</v>
      </c>
      <c r="AE22" s="64">
        <f t="shared" si="12"/>
        <v>10</v>
      </c>
      <c r="AF22" s="63">
        <v>72.5</v>
      </c>
      <c r="AG22" s="64">
        <f t="shared" si="13"/>
        <v>9</v>
      </c>
      <c r="AH22" s="63">
        <v>70.7</v>
      </c>
      <c r="AI22" s="204" t="s">
        <v>85</v>
      </c>
    </row>
    <row r="23" spans="1:35" ht="15" customHeight="1">
      <c r="A23" s="201" t="s">
        <v>23</v>
      </c>
      <c r="B23" s="202">
        <f t="shared" si="0"/>
        <v>21</v>
      </c>
      <c r="C23" s="63">
        <v>1372.8</v>
      </c>
      <c r="D23" s="64">
        <f t="shared" si="1"/>
        <v>18</v>
      </c>
      <c r="E23" s="63">
        <v>85.9</v>
      </c>
      <c r="F23" s="64">
        <f t="shared" si="2"/>
        <v>5</v>
      </c>
      <c r="G23" s="63">
        <v>96.4</v>
      </c>
      <c r="H23" s="64">
        <f t="shared" si="14"/>
      </c>
      <c r="I23" s="63" t="s">
        <v>218</v>
      </c>
      <c r="J23" s="64">
        <f t="shared" si="3"/>
        <v>22</v>
      </c>
      <c r="K23" s="63">
        <v>83.8</v>
      </c>
      <c r="L23" s="64">
        <f t="shared" si="4"/>
        <v>28</v>
      </c>
      <c r="M23" s="63">
        <v>82.8</v>
      </c>
      <c r="N23" s="64">
        <f t="shared" si="5"/>
        <v>10</v>
      </c>
      <c r="O23" s="63">
        <v>85.9</v>
      </c>
      <c r="P23" s="64">
        <f t="shared" si="5"/>
        <v>18</v>
      </c>
      <c r="Q23" s="63">
        <v>92.9</v>
      </c>
      <c r="R23" s="63"/>
      <c r="S23" s="64">
        <f t="shared" si="6"/>
        <v>29</v>
      </c>
      <c r="T23" s="257">
        <v>0</v>
      </c>
      <c r="U23" s="64">
        <f t="shared" si="7"/>
        <v>8</v>
      </c>
      <c r="V23" s="63">
        <v>58.1</v>
      </c>
      <c r="W23" s="64">
        <f t="shared" si="8"/>
        <v>13</v>
      </c>
      <c r="X23" s="63">
        <v>84.9</v>
      </c>
      <c r="Y23" s="64">
        <f t="shared" si="9"/>
        <v>23</v>
      </c>
      <c r="Z23" s="259">
        <v>38.3</v>
      </c>
      <c r="AA23" s="64">
        <f t="shared" si="10"/>
        <v>39</v>
      </c>
      <c r="AB23" s="63">
        <v>176.5</v>
      </c>
      <c r="AC23" s="64">
        <f t="shared" si="11"/>
        <v>40</v>
      </c>
      <c r="AD23" s="63">
        <v>165.4</v>
      </c>
      <c r="AE23" s="64">
        <f t="shared" si="12"/>
        <v>4</v>
      </c>
      <c r="AF23" s="63">
        <v>82.8</v>
      </c>
      <c r="AG23" s="64">
        <f t="shared" si="13"/>
        <v>4</v>
      </c>
      <c r="AH23" s="63">
        <v>78.6</v>
      </c>
      <c r="AI23" s="204" t="s">
        <v>86</v>
      </c>
    </row>
    <row r="24" spans="1:35" s="200" customFormat="1" ht="30" customHeight="1">
      <c r="A24" s="196" t="s">
        <v>24</v>
      </c>
      <c r="B24" s="197">
        <f t="shared" si="0"/>
        <v>8</v>
      </c>
      <c r="C24" s="61">
        <v>1656.1</v>
      </c>
      <c r="D24" s="62">
        <f t="shared" si="1"/>
        <v>2</v>
      </c>
      <c r="E24" s="61">
        <v>90.1</v>
      </c>
      <c r="F24" s="62">
        <f t="shared" si="2"/>
        <v>1</v>
      </c>
      <c r="G24" s="61">
        <v>98.3</v>
      </c>
      <c r="H24" s="62">
        <f t="shared" si="14"/>
      </c>
      <c r="I24" s="61" t="s">
        <v>218</v>
      </c>
      <c r="J24" s="62">
        <f t="shared" si="3"/>
        <v>2</v>
      </c>
      <c r="K24" s="61">
        <v>88.8</v>
      </c>
      <c r="L24" s="62">
        <f t="shared" si="4"/>
        <v>2</v>
      </c>
      <c r="M24" s="61">
        <v>89.7</v>
      </c>
      <c r="N24" s="62">
        <f t="shared" si="5"/>
        <v>5</v>
      </c>
      <c r="O24" s="61">
        <v>87.5</v>
      </c>
      <c r="P24" s="62">
        <f t="shared" si="5"/>
        <v>24</v>
      </c>
      <c r="Q24" s="61">
        <v>91.3</v>
      </c>
      <c r="R24" s="61"/>
      <c r="S24" s="62">
        <f t="shared" si="6"/>
        <v>13</v>
      </c>
      <c r="T24" s="257">
        <v>0.4</v>
      </c>
      <c r="U24" s="62">
        <f t="shared" si="7"/>
        <v>14</v>
      </c>
      <c r="V24" s="61">
        <v>50.2</v>
      </c>
      <c r="W24" s="62">
        <f t="shared" si="8"/>
        <v>3</v>
      </c>
      <c r="X24" s="61">
        <v>87.8</v>
      </c>
      <c r="Y24" s="62">
        <f t="shared" si="9"/>
        <v>45</v>
      </c>
      <c r="Z24" s="258">
        <v>29.5</v>
      </c>
      <c r="AA24" s="62">
        <f t="shared" si="10"/>
        <v>19</v>
      </c>
      <c r="AB24" s="61">
        <v>225.3</v>
      </c>
      <c r="AC24" s="62">
        <f t="shared" si="11"/>
        <v>20</v>
      </c>
      <c r="AD24" s="61">
        <v>210.4</v>
      </c>
      <c r="AE24" s="62">
        <f t="shared" si="12"/>
        <v>40</v>
      </c>
      <c r="AF24" s="61">
        <v>53.5</v>
      </c>
      <c r="AG24" s="62">
        <f t="shared" si="13"/>
        <v>41</v>
      </c>
      <c r="AH24" s="61">
        <v>51.4</v>
      </c>
      <c r="AI24" s="199" t="s">
        <v>87</v>
      </c>
    </row>
    <row r="25" spans="1:35" ht="15" customHeight="1">
      <c r="A25" s="201" t="s">
        <v>25</v>
      </c>
      <c r="B25" s="202">
        <f t="shared" si="0"/>
        <v>9</v>
      </c>
      <c r="C25" s="63">
        <v>1644.7</v>
      </c>
      <c r="D25" s="64">
        <f t="shared" si="1"/>
        <v>19</v>
      </c>
      <c r="E25" s="63">
        <v>85.8</v>
      </c>
      <c r="F25" s="64">
        <f t="shared" si="2"/>
        <v>5</v>
      </c>
      <c r="G25" s="63">
        <v>96.4</v>
      </c>
      <c r="H25" s="64">
        <f t="shared" si="14"/>
      </c>
      <c r="I25" s="63" t="s">
        <v>218</v>
      </c>
      <c r="J25" s="64">
        <f t="shared" si="3"/>
        <v>21</v>
      </c>
      <c r="K25" s="63">
        <v>83.9</v>
      </c>
      <c r="L25" s="64">
        <f t="shared" si="4"/>
        <v>16</v>
      </c>
      <c r="M25" s="63">
        <v>84.7</v>
      </c>
      <c r="N25" s="64">
        <f t="shared" si="5"/>
        <v>29</v>
      </c>
      <c r="O25" s="63">
        <v>82.2</v>
      </c>
      <c r="P25" s="64">
        <f t="shared" si="5"/>
        <v>16</v>
      </c>
      <c r="Q25" s="63">
        <v>93.3</v>
      </c>
      <c r="R25" s="63"/>
      <c r="S25" s="64">
        <f t="shared" si="6"/>
        <v>15</v>
      </c>
      <c r="T25" s="257">
        <v>0.3</v>
      </c>
      <c r="U25" s="64">
        <f t="shared" si="7"/>
        <v>31</v>
      </c>
      <c r="V25" s="63">
        <v>33.7</v>
      </c>
      <c r="W25" s="64">
        <f t="shared" si="8"/>
        <v>26</v>
      </c>
      <c r="X25" s="63">
        <v>82.8</v>
      </c>
      <c r="Y25" s="64">
        <f t="shared" si="9"/>
        <v>46</v>
      </c>
      <c r="Z25" s="259">
        <v>29.1</v>
      </c>
      <c r="AA25" s="64">
        <f t="shared" si="10"/>
        <v>8</v>
      </c>
      <c r="AB25" s="63">
        <v>249.2</v>
      </c>
      <c r="AC25" s="64">
        <f t="shared" si="11"/>
        <v>8</v>
      </c>
      <c r="AD25" s="63">
        <v>235.5</v>
      </c>
      <c r="AE25" s="64">
        <f t="shared" si="12"/>
        <v>45</v>
      </c>
      <c r="AF25" s="63">
        <v>51.1</v>
      </c>
      <c r="AG25" s="64">
        <f t="shared" si="13"/>
        <v>44</v>
      </c>
      <c r="AH25" s="63">
        <v>49.5</v>
      </c>
      <c r="AI25" s="204" t="s">
        <v>88</v>
      </c>
    </row>
    <row r="26" spans="1:35" ht="15" customHeight="1">
      <c r="A26" s="201" t="s">
        <v>26</v>
      </c>
      <c r="B26" s="202">
        <f t="shared" si="0"/>
        <v>3</v>
      </c>
      <c r="C26" s="63">
        <v>1794.6</v>
      </c>
      <c r="D26" s="64">
        <f t="shared" si="1"/>
        <v>20</v>
      </c>
      <c r="E26" s="63">
        <v>85.7</v>
      </c>
      <c r="F26" s="64">
        <f t="shared" si="2"/>
        <v>20</v>
      </c>
      <c r="G26" s="63">
        <v>94.9</v>
      </c>
      <c r="H26" s="64">
        <f t="shared" si="14"/>
      </c>
      <c r="I26" s="63" t="s">
        <v>218</v>
      </c>
      <c r="J26" s="64">
        <f t="shared" si="3"/>
        <v>18</v>
      </c>
      <c r="K26" s="63">
        <v>84.2</v>
      </c>
      <c r="L26" s="64">
        <f t="shared" si="4"/>
        <v>16</v>
      </c>
      <c r="M26" s="63">
        <v>84.7</v>
      </c>
      <c r="N26" s="64">
        <f t="shared" si="5"/>
        <v>20</v>
      </c>
      <c r="O26" s="63">
        <v>83.6</v>
      </c>
      <c r="P26" s="64">
        <f t="shared" si="5"/>
        <v>38</v>
      </c>
      <c r="Q26" s="63">
        <v>86.1</v>
      </c>
      <c r="R26" s="63"/>
      <c r="S26" s="64">
        <f t="shared" si="6"/>
        <v>1</v>
      </c>
      <c r="T26" s="257">
        <v>24.1</v>
      </c>
      <c r="U26" s="64">
        <f t="shared" si="7"/>
        <v>25</v>
      </c>
      <c r="V26" s="63">
        <v>39.2</v>
      </c>
      <c r="W26" s="64">
        <f t="shared" si="8"/>
        <v>13</v>
      </c>
      <c r="X26" s="63">
        <v>84.9</v>
      </c>
      <c r="Y26" s="64">
        <f t="shared" si="9"/>
        <v>47</v>
      </c>
      <c r="Z26" s="259">
        <v>29</v>
      </c>
      <c r="AA26" s="64">
        <f t="shared" si="10"/>
        <v>24</v>
      </c>
      <c r="AB26" s="63">
        <v>205.2</v>
      </c>
      <c r="AC26" s="64">
        <f t="shared" si="11"/>
        <v>24</v>
      </c>
      <c r="AD26" s="63">
        <v>193.6</v>
      </c>
      <c r="AE26" s="64">
        <f t="shared" si="12"/>
        <v>47</v>
      </c>
      <c r="AF26" s="63">
        <v>46.1</v>
      </c>
      <c r="AG26" s="64">
        <f t="shared" si="13"/>
        <v>47</v>
      </c>
      <c r="AH26" s="63">
        <v>45.8</v>
      </c>
      <c r="AI26" s="204" t="s">
        <v>78</v>
      </c>
    </row>
    <row r="27" spans="1:35" ht="15" customHeight="1">
      <c r="A27" s="201" t="s">
        <v>27</v>
      </c>
      <c r="B27" s="202">
        <f t="shared" si="0"/>
        <v>39</v>
      </c>
      <c r="C27" s="63">
        <v>1190.6</v>
      </c>
      <c r="D27" s="64">
        <f t="shared" si="1"/>
        <v>45</v>
      </c>
      <c r="E27" s="63">
        <v>81</v>
      </c>
      <c r="F27" s="64">
        <f t="shared" si="2"/>
        <v>45</v>
      </c>
      <c r="G27" s="63">
        <v>88.4</v>
      </c>
      <c r="H27" s="64">
        <f t="shared" si="14"/>
      </c>
      <c r="I27" s="63" t="s">
        <v>218</v>
      </c>
      <c r="J27" s="64">
        <f t="shared" si="3"/>
        <v>44</v>
      </c>
      <c r="K27" s="63">
        <v>79.3</v>
      </c>
      <c r="L27" s="64">
        <f t="shared" si="4"/>
        <v>41</v>
      </c>
      <c r="M27" s="63">
        <v>79.3</v>
      </c>
      <c r="N27" s="64">
        <f t="shared" si="5"/>
        <v>40</v>
      </c>
      <c r="O27" s="63">
        <v>79.4</v>
      </c>
      <c r="P27" s="64">
        <f t="shared" si="5"/>
        <v>19</v>
      </c>
      <c r="Q27" s="63">
        <v>92.7</v>
      </c>
      <c r="R27" s="63"/>
      <c r="S27" s="64">
        <f t="shared" si="6"/>
        <v>29</v>
      </c>
      <c r="T27" s="257">
        <v>0</v>
      </c>
      <c r="U27" s="64">
        <f t="shared" si="7"/>
        <v>46</v>
      </c>
      <c r="V27" s="63">
        <v>17.8</v>
      </c>
      <c r="W27" s="64">
        <f t="shared" si="8"/>
        <v>39</v>
      </c>
      <c r="X27" s="63">
        <v>80.4</v>
      </c>
      <c r="Y27" s="64">
        <f t="shared" si="9"/>
        <v>19</v>
      </c>
      <c r="Z27" s="259">
        <v>40.4</v>
      </c>
      <c r="AA27" s="64">
        <f t="shared" si="10"/>
        <v>27</v>
      </c>
      <c r="AB27" s="63">
        <v>196.9</v>
      </c>
      <c r="AC27" s="64">
        <f t="shared" si="11"/>
        <v>28</v>
      </c>
      <c r="AD27" s="63">
        <v>187.4</v>
      </c>
      <c r="AE27" s="64">
        <f t="shared" si="12"/>
        <v>19</v>
      </c>
      <c r="AF27" s="63">
        <v>64.3</v>
      </c>
      <c r="AG27" s="64">
        <f t="shared" si="13"/>
        <v>19</v>
      </c>
      <c r="AH27" s="63">
        <v>63.7</v>
      </c>
      <c r="AI27" s="204" t="s">
        <v>77</v>
      </c>
    </row>
    <row r="28" spans="1:35" ht="15" customHeight="1">
      <c r="A28" s="201" t="s">
        <v>28</v>
      </c>
      <c r="B28" s="202">
        <f t="shared" si="0"/>
        <v>25</v>
      </c>
      <c r="C28" s="63">
        <v>1335.1</v>
      </c>
      <c r="D28" s="64">
        <f t="shared" si="1"/>
        <v>29</v>
      </c>
      <c r="E28" s="63">
        <v>83.9</v>
      </c>
      <c r="F28" s="64">
        <f t="shared" si="2"/>
        <v>42</v>
      </c>
      <c r="G28" s="63">
        <v>89.8</v>
      </c>
      <c r="H28" s="64">
        <f t="shared" si="14"/>
      </c>
      <c r="I28" s="63" t="s">
        <v>218</v>
      </c>
      <c r="J28" s="64">
        <f t="shared" si="3"/>
        <v>25</v>
      </c>
      <c r="K28" s="63">
        <v>83.2</v>
      </c>
      <c r="L28" s="64">
        <f t="shared" si="4"/>
        <v>29</v>
      </c>
      <c r="M28" s="63">
        <v>82.7</v>
      </c>
      <c r="N28" s="64">
        <f t="shared" si="5"/>
        <v>20</v>
      </c>
      <c r="O28" s="63">
        <v>83.6</v>
      </c>
      <c r="P28" s="64">
        <f t="shared" si="5"/>
        <v>13</v>
      </c>
      <c r="Q28" s="63">
        <v>93.7</v>
      </c>
      <c r="R28" s="63"/>
      <c r="S28" s="64">
        <f t="shared" si="6"/>
        <v>29</v>
      </c>
      <c r="T28" s="257">
        <v>0</v>
      </c>
      <c r="U28" s="64">
        <f t="shared" si="7"/>
        <v>26</v>
      </c>
      <c r="V28" s="63">
        <v>38.6</v>
      </c>
      <c r="W28" s="64">
        <f t="shared" si="8"/>
        <v>34</v>
      </c>
      <c r="X28" s="63">
        <v>81.4</v>
      </c>
      <c r="Y28" s="64">
        <f t="shared" si="9"/>
        <v>25</v>
      </c>
      <c r="Z28" s="259">
        <v>37.6</v>
      </c>
      <c r="AA28" s="64">
        <f t="shared" si="10"/>
        <v>35</v>
      </c>
      <c r="AB28" s="63">
        <v>185</v>
      </c>
      <c r="AC28" s="64">
        <f t="shared" si="11"/>
        <v>35</v>
      </c>
      <c r="AD28" s="63">
        <v>176.5</v>
      </c>
      <c r="AE28" s="64">
        <f t="shared" si="12"/>
        <v>14</v>
      </c>
      <c r="AF28" s="63">
        <v>68.1</v>
      </c>
      <c r="AG28" s="64">
        <f t="shared" si="13"/>
        <v>16</v>
      </c>
      <c r="AH28" s="63">
        <v>65.3</v>
      </c>
      <c r="AI28" s="204" t="s">
        <v>89</v>
      </c>
    </row>
    <row r="29" spans="1:35" s="200" customFormat="1" ht="30" customHeight="1">
      <c r="A29" s="196" t="s">
        <v>29</v>
      </c>
      <c r="B29" s="197">
        <f t="shared" si="0"/>
        <v>32</v>
      </c>
      <c r="C29" s="61">
        <v>1265.9</v>
      </c>
      <c r="D29" s="62">
        <f t="shared" si="1"/>
        <v>32</v>
      </c>
      <c r="E29" s="61">
        <v>83.5</v>
      </c>
      <c r="F29" s="62">
        <f t="shared" si="2"/>
        <v>10</v>
      </c>
      <c r="G29" s="61">
        <v>95.6</v>
      </c>
      <c r="H29" s="62">
        <f t="shared" si="14"/>
      </c>
      <c r="I29" s="61" t="s">
        <v>218</v>
      </c>
      <c r="J29" s="62">
        <f t="shared" si="3"/>
        <v>37</v>
      </c>
      <c r="K29" s="61">
        <v>81</v>
      </c>
      <c r="L29" s="62">
        <f t="shared" si="4"/>
        <v>36</v>
      </c>
      <c r="M29" s="61">
        <v>81</v>
      </c>
      <c r="N29" s="62">
        <f t="shared" si="5"/>
        <v>37</v>
      </c>
      <c r="O29" s="61">
        <v>80.8</v>
      </c>
      <c r="P29" s="62">
        <f t="shared" si="5"/>
        <v>34</v>
      </c>
      <c r="Q29" s="61">
        <v>87.8</v>
      </c>
      <c r="R29" s="61"/>
      <c r="S29" s="62">
        <f t="shared" si="6"/>
        <v>22</v>
      </c>
      <c r="T29" s="257">
        <v>0.1</v>
      </c>
      <c r="U29" s="62">
        <f t="shared" si="7"/>
        <v>26</v>
      </c>
      <c r="V29" s="61">
        <v>38.6</v>
      </c>
      <c r="W29" s="62">
        <f t="shared" si="8"/>
        <v>24</v>
      </c>
      <c r="X29" s="61">
        <v>83</v>
      </c>
      <c r="Y29" s="62">
        <f t="shared" si="9"/>
        <v>10</v>
      </c>
      <c r="Z29" s="258">
        <v>44.2</v>
      </c>
      <c r="AA29" s="62">
        <f t="shared" si="10"/>
        <v>44</v>
      </c>
      <c r="AB29" s="61">
        <v>168.1</v>
      </c>
      <c r="AC29" s="62">
        <f t="shared" si="11"/>
        <v>44</v>
      </c>
      <c r="AD29" s="61">
        <v>161.7</v>
      </c>
      <c r="AE29" s="62">
        <f t="shared" si="12"/>
        <v>18</v>
      </c>
      <c r="AF29" s="61">
        <v>66.6</v>
      </c>
      <c r="AG29" s="62">
        <f t="shared" si="13"/>
        <v>17</v>
      </c>
      <c r="AH29" s="61">
        <v>64.7</v>
      </c>
      <c r="AI29" s="199" t="s">
        <v>90</v>
      </c>
    </row>
    <row r="30" spans="1:35" ht="15" customHeight="1">
      <c r="A30" s="201" t="s">
        <v>30</v>
      </c>
      <c r="B30" s="202">
        <f t="shared" si="0"/>
        <v>47</v>
      </c>
      <c r="C30" s="63">
        <v>1007.9</v>
      </c>
      <c r="D30" s="64">
        <f t="shared" si="1"/>
        <v>32</v>
      </c>
      <c r="E30" s="63">
        <v>83.5</v>
      </c>
      <c r="F30" s="64">
        <f t="shared" si="2"/>
        <v>40</v>
      </c>
      <c r="G30" s="63">
        <v>90.5</v>
      </c>
      <c r="H30" s="64">
        <f t="shared" si="14"/>
      </c>
      <c r="I30" s="63" t="s">
        <v>218</v>
      </c>
      <c r="J30" s="64">
        <f t="shared" si="3"/>
        <v>30</v>
      </c>
      <c r="K30" s="63">
        <v>82.1</v>
      </c>
      <c r="L30" s="64">
        <f t="shared" si="4"/>
        <v>23</v>
      </c>
      <c r="M30" s="63">
        <v>83.6</v>
      </c>
      <c r="N30" s="64">
        <f t="shared" si="5"/>
        <v>46</v>
      </c>
      <c r="O30" s="63">
        <v>77</v>
      </c>
      <c r="P30" s="64">
        <f t="shared" si="5"/>
        <v>47</v>
      </c>
      <c r="Q30" s="63">
        <v>78.1</v>
      </c>
      <c r="R30" s="63"/>
      <c r="S30" s="64">
        <f t="shared" si="6"/>
        <v>22</v>
      </c>
      <c r="T30" s="257">
        <v>0.1</v>
      </c>
      <c r="U30" s="64">
        <f t="shared" si="7"/>
        <v>35</v>
      </c>
      <c r="V30" s="63">
        <v>31.8</v>
      </c>
      <c r="W30" s="64">
        <f t="shared" si="8"/>
        <v>42</v>
      </c>
      <c r="X30" s="63">
        <v>80</v>
      </c>
      <c r="Y30" s="64">
        <f t="shared" si="9"/>
        <v>18</v>
      </c>
      <c r="Z30" s="259">
        <v>41</v>
      </c>
      <c r="AA30" s="64">
        <f t="shared" si="10"/>
        <v>42</v>
      </c>
      <c r="AB30" s="63">
        <v>170.8</v>
      </c>
      <c r="AC30" s="64">
        <f t="shared" si="11"/>
        <v>41</v>
      </c>
      <c r="AD30" s="63">
        <v>164.8</v>
      </c>
      <c r="AE30" s="64">
        <f t="shared" si="12"/>
        <v>26</v>
      </c>
      <c r="AF30" s="63">
        <v>60.3</v>
      </c>
      <c r="AG30" s="64">
        <f t="shared" si="13"/>
        <v>28</v>
      </c>
      <c r="AH30" s="63">
        <v>58.7</v>
      </c>
      <c r="AI30" s="204" t="s">
        <v>91</v>
      </c>
    </row>
    <row r="31" spans="1:35" ht="15" customHeight="1">
      <c r="A31" s="201" t="s">
        <v>31</v>
      </c>
      <c r="B31" s="202">
        <f t="shared" si="0"/>
        <v>40</v>
      </c>
      <c r="C31" s="63">
        <v>1188</v>
      </c>
      <c r="D31" s="64">
        <f t="shared" si="1"/>
        <v>23</v>
      </c>
      <c r="E31" s="63">
        <v>85.3</v>
      </c>
      <c r="F31" s="64">
        <f t="shared" si="2"/>
        <v>23</v>
      </c>
      <c r="G31" s="63">
        <v>94.4</v>
      </c>
      <c r="H31" s="64">
        <f t="shared" si="14"/>
      </c>
      <c r="I31" s="63" t="s">
        <v>218</v>
      </c>
      <c r="J31" s="64">
        <f t="shared" si="3"/>
        <v>22</v>
      </c>
      <c r="K31" s="63">
        <v>83.8</v>
      </c>
      <c r="L31" s="64">
        <f t="shared" si="4"/>
        <v>19</v>
      </c>
      <c r="M31" s="63">
        <v>84.3</v>
      </c>
      <c r="N31" s="64">
        <f t="shared" si="5"/>
        <v>27</v>
      </c>
      <c r="O31" s="63">
        <v>82.5</v>
      </c>
      <c r="P31" s="64">
        <f t="shared" si="5"/>
        <v>27</v>
      </c>
      <c r="Q31" s="63">
        <v>90</v>
      </c>
      <c r="R31" s="63"/>
      <c r="S31" s="64">
        <f t="shared" si="6"/>
        <v>19</v>
      </c>
      <c r="T31" s="257">
        <v>0.2</v>
      </c>
      <c r="U31" s="64">
        <f t="shared" si="7"/>
        <v>10</v>
      </c>
      <c r="V31" s="63">
        <v>52</v>
      </c>
      <c r="W31" s="64">
        <f t="shared" si="8"/>
        <v>29</v>
      </c>
      <c r="X31" s="63">
        <v>82.2</v>
      </c>
      <c r="Y31" s="64">
        <f t="shared" si="9"/>
        <v>24</v>
      </c>
      <c r="Z31" s="259">
        <v>38.1</v>
      </c>
      <c r="AA31" s="64">
        <f t="shared" si="10"/>
        <v>36</v>
      </c>
      <c r="AB31" s="63">
        <v>183.2</v>
      </c>
      <c r="AC31" s="64">
        <f t="shared" si="11"/>
        <v>37</v>
      </c>
      <c r="AD31" s="63">
        <v>172.8</v>
      </c>
      <c r="AE31" s="64">
        <f t="shared" si="12"/>
        <v>15</v>
      </c>
      <c r="AF31" s="63">
        <v>67.5</v>
      </c>
      <c r="AG31" s="64">
        <f t="shared" si="13"/>
        <v>14</v>
      </c>
      <c r="AH31" s="63">
        <v>65.7</v>
      </c>
      <c r="AI31" s="204" t="s">
        <v>92</v>
      </c>
    </row>
    <row r="32" spans="1:35" ht="15" customHeight="1">
      <c r="A32" s="201" t="s">
        <v>32</v>
      </c>
      <c r="B32" s="202">
        <f t="shared" si="0"/>
        <v>38</v>
      </c>
      <c r="C32" s="63">
        <v>1201.4</v>
      </c>
      <c r="D32" s="64">
        <f t="shared" si="1"/>
        <v>16</v>
      </c>
      <c r="E32" s="63">
        <v>86.5</v>
      </c>
      <c r="F32" s="64">
        <f t="shared" si="2"/>
        <v>22</v>
      </c>
      <c r="G32" s="63">
        <v>94.5</v>
      </c>
      <c r="H32" s="64">
        <f t="shared" si="14"/>
      </c>
      <c r="I32" s="63" t="s">
        <v>218</v>
      </c>
      <c r="J32" s="64">
        <f t="shared" si="3"/>
        <v>16</v>
      </c>
      <c r="K32" s="63">
        <v>84.7</v>
      </c>
      <c r="L32" s="64">
        <f t="shared" si="4"/>
        <v>26</v>
      </c>
      <c r="M32" s="63">
        <v>83.2</v>
      </c>
      <c r="N32" s="64">
        <f t="shared" si="5"/>
        <v>6</v>
      </c>
      <c r="O32" s="63">
        <v>87.2</v>
      </c>
      <c r="P32" s="64">
        <f t="shared" si="5"/>
        <v>9</v>
      </c>
      <c r="Q32" s="63">
        <v>95</v>
      </c>
      <c r="R32" s="63"/>
      <c r="S32" s="64">
        <f t="shared" si="6"/>
        <v>29</v>
      </c>
      <c r="T32" s="257">
        <v>0</v>
      </c>
      <c r="U32" s="64">
        <f t="shared" si="7"/>
        <v>16</v>
      </c>
      <c r="V32" s="63">
        <v>48.3</v>
      </c>
      <c r="W32" s="64">
        <f t="shared" si="8"/>
        <v>6</v>
      </c>
      <c r="X32" s="63">
        <v>87</v>
      </c>
      <c r="Y32" s="64">
        <f t="shared" si="9"/>
        <v>27</v>
      </c>
      <c r="Z32" s="259">
        <v>37.2</v>
      </c>
      <c r="AA32" s="64">
        <f t="shared" si="10"/>
        <v>37</v>
      </c>
      <c r="AB32" s="63">
        <v>181.5</v>
      </c>
      <c r="AC32" s="64">
        <f t="shared" si="11"/>
        <v>36</v>
      </c>
      <c r="AD32" s="63">
        <v>173.6</v>
      </c>
      <c r="AE32" s="64">
        <f t="shared" si="12"/>
        <v>38</v>
      </c>
      <c r="AF32" s="63">
        <v>56.2</v>
      </c>
      <c r="AG32" s="64">
        <f t="shared" si="13"/>
        <v>38</v>
      </c>
      <c r="AH32" s="63">
        <v>55</v>
      </c>
      <c r="AI32" s="204" t="s">
        <v>93</v>
      </c>
    </row>
    <row r="33" spans="1:35" ht="15" customHeight="1">
      <c r="A33" s="201" t="s">
        <v>33</v>
      </c>
      <c r="B33" s="202">
        <f t="shared" si="0"/>
        <v>33</v>
      </c>
      <c r="C33" s="63">
        <v>1261.5</v>
      </c>
      <c r="D33" s="64">
        <f t="shared" si="1"/>
        <v>30</v>
      </c>
      <c r="E33" s="63">
        <v>83.7</v>
      </c>
      <c r="F33" s="64">
        <f t="shared" si="2"/>
        <v>3</v>
      </c>
      <c r="G33" s="63">
        <v>97.5</v>
      </c>
      <c r="H33" s="64">
        <f t="shared" si="14"/>
      </c>
      <c r="I33" s="63" t="s">
        <v>218</v>
      </c>
      <c r="J33" s="64">
        <f t="shared" si="3"/>
        <v>32</v>
      </c>
      <c r="K33" s="63">
        <v>81.9</v>
      </c>
      <c r="L33" s="64">
        <f t="shared" si="4"/>
        <v>22</v>
      </c>
      <c r="M33" s="63">
        <v>84.1</v>
      </c>
      <c r="N33" s="64">
        <f t="shared" si="5"/>
        <v>41</v>
      </c>
      <c r="O33" s="63">
        <v>79.3</v>
      </c>
      <c r="P33" s="64">
        <f t="shared" si="5"/>
        <v>45</v>
      </c>
      <c r="Q33" s="63">
        <v>81.6</v>
      </c>
      <c r="R33" s="63"/>
      <c r="S33" s="64">
        <f t="shared" si="6"/>
        <v>29</v>
      </c>
      <c r="T33" s="257">
        <v>0</v>
      </c>
      <c r="U33" s="64">
        <f t="shared" si="7"/>
        <v>16</v>
      </c>
      <c r="V33" s="63">
        <v>48.3</v>
      </c>
      <c r="W33" s="64">
        <f t="shared" si="8"/>
        <v>40</v>
      </c>
      <c r="X33" s="63">
        <v>80.3</v>
      </c>
      <c r="Y33" s="64">
        <f t="shared" si="9"/>
        <v>43</v>
      </c>
      <c r="Z33" s="259">
        <v>30.8</v>
      </c>
      <c r="AA33" s="64">
        <f t="shared" si="10"/>
        <v>32</v>
      </c>
      <c r="AB33" s="63">
        <v>192.7</v>
      </c>
      <c r="AC33" s="64">
        <f t="shared" si="11"/>
        <v>31</v>
      </c>
      <c r="AD33" s="63">
        <v>180.8</v>
      </c>
      <c r="AE33" s="64">
        <f t="shared" si="12"/>
        <v>46</v>
      </c>
      <c r="AF33" s="63">
        <v>49</v>
      </c>
      <c r="AG33" s="64">
        <f t="shared" si="13"/>
        <v>46</v>
      </c>
      <c r="AH33" s="63">
        <v>47.9</v>
      </c>
      <c r="AI33" s="204" t="s">
        <v>94</v>
      </c>
    </row>
    <row r="34" spans="1:35" s="200" customFormat="1" ht="30" customHeight="1">
      <c r="A34" s="196" t="s">
        <v>34</v>
      </c>
      <c r="B34" s="197">
        <f t="shared" si="0"/>
        <v>16</v>
      </c>
      <c r="C34" s="61">
        <v>1408</v>
      </c>
      <c r="D34" s="62">
        <f t="shared" si="1"/>
        <v>26</v>
      </c>
      <c r="E34" s="61">
        <v>84.4</v>
      </c>
      <c r="F34" s="62">
        <f t="shared" si="2"/>
        <v>36</v>
      </c>
      <c r="G34" s="61">
        <v>91.2</v>
      </c>
      <c r="H34" s="62">
        <f t="shared" si="14"/>
      </c>
      <c r="I34" s="61" t="s">
        <v>218</v>
      </c>
      <c r="J34" s="62">
        <f t="shared" si="3"/>
        <v>24</v>
      </c>
      <c r="K34" s="61">
        <v>83.7</v>
      </c>
      <c r="L34" s="62">
        <f t="shared" si="4"/>
        <v>26</v>
      </c>
      <c r="M34" s="61">
        <v>83.2</v>
      </c>
      <c r="N34" s="62">
        <f t="shared" si="5"/>
        <v>15</v>
      </c>
      <c r="O34" s="61">
        <v>84.6</v>
      </c>
      <c r="P34" s="62">
        <f t="shared" si="5"/>
        <v>20</v>
      </c>
      <c r="Q34" s="61">
        <v>92.6</v>
      </c>
      <c r="R34" s="61"/>
      <c r="S34" s="62">
        <f t="shared" si="6"/>
        <v>11</v>
      </c>
      <c r="T34" s="257">
        <v>0.9</v>
      </c>
      <c r="U34" s="62">
        <f t="shared" si="7"/>
        <v>30</v>
      </c>
      <c r="V34" s="61">
        <v>34.6</v>
      </c>
      <c r="W34" s="62">
        <f t="shared" si="8"/>
        <v>21</v>
      </c>
      <c r="X34" s="61">
        <v>84.1</v>
      </c>
      <c r="Y34" s="62">
        <f t="shared" si="9"/>
        <v>41</v>
      </c>
      <c r="Z34" s="258">
        <v>31.8</v>
      </c>
      <c r="AA34" s="62">
        <f t="shared" si="10"/>
        <v>2</v>
      </c>
      <c r="AB34" s="61">
        <v>274.2</v>
      </c>
      <c r="AC34" s="62">
        <f t="shared" si="11"/>
        <v>3</v>
      </c>
      <c r="AD34" s="61">
        <v>257.8</v>
      </c>
      <c r="AE34" s="62">
        <f t="shared" si="12"/>
        <v>22</v>
      </c>
      <c r="AF34" s="61">
        <v>61.9</v>
      </c>
      <c r="AG34" s="62">
        <f t="shared" si="13"/>
        <v>21</v>
      </c>
      <c r="AH34" s="61">
        <v>60.9</v>
      </c>
      <c r="AI34" s="199" t="s">
        <v>95</v>
      </c>
    </row>
    <row r="35" spans="1:35" ht="15" customHeight="1">
      <c r="A35" s="201" t="s">
        <v>35</v>
      </c>
      <c r="B35" s="202">
        <f t="shared" si="0"/>
        <v>18</v>
      </c>
      <c r="C35" s="63">
        <v>1391</v>
      </c>
      <c r="D35" s="64">
        <f t="shared" si="1"/>
        <v>22</v>
      </c>
      <c r="E35" s="63">
        <v>85.6</v>
      </c>
      <c r="F35" s="64">
        <f t="shared" si="2"/>
        <v>29</v>
      </c>
      <c r="G35" s="63">
        <v>92.3</v>
      </c>
      <c r="H35" s="64">
        <f t="shared" si="14"/>
      </c>
      <c r="I35" s="63" t="s">
        <v>218</v>
      </c>
      <c r="J35" s="64">
        <f t="shared" si="3"/>
        <v>17</v>
      </c>
      <c r="K35" s="63">
        <v>84.5</v>
      </c>
      <c r="L35" s="64">
        <f t="shared" si="4"/>
        <v>15</v>
      </c>
      <c r="M35" s="63">
        <v>85.2</v>
      </c>
      <c r="N35" s="64">
        <f t="shared" si="5"/>
        <v>31</v>
      </c>
      <c r="O35" s="63">
        <v>81.8</v>
      </c>
      <c r="P35" s="64">
        <f t="shared" si="5"/>
        <v>25</v>
      </c>
      <c r="Q35" s="63">
        <v>90.8</v>
      </c>
      <c r="R35" s="63"/>
      <c r="S35" s="64">
        <f t="shared" si="6"/>
        <v>13</v>
      </c>
      <c r="T35" s="257">
        <v>0.4</v>
      </c>
      <c r="U35" s="64">
        <f t="shared" si="7"/>
        <v>3</v>
      </c>
      <c r="V35" s="63">
        <v>67.4</v>
      </c>
      <c r="W35" s="64">
        <f t="shared" si="8"/>
        <v>35</v>
      </c>
      <c r="X35" s="63">
        <v>81.2</v>
      </c>
      <c r="Y35" s="64">
        <f t="shared" si="9"/>
        <v>29</v>
      </c>
      <c r="Z35" s="259">
        <v>37.1</v>
      </c>
      <c r="AA35" s="64">
        <f t="shared" si="10"/>
        <v>14</v>
      </c>
      <c r="AB35" s="63">
        <v>237.3</v>
      </c>
      <c r="AC35" s="64">
        <f t="shared" si="11"/>
        <v>15</v>
      </c>
      <c r="AD35" s="63">
        <v>224.7</v>
      </c>
      <c r="AE35" s="64">
        <f t="shared" si="12"/>
        <v>5</v>
      </c>
      <c r="AF35" s="63">
        <v>80.8</v>
      </c>
      <c r="AG35" s="64">
        <f t="shared" si="13"/>
        <v>4</v>
      </c>
      <c r="AH35" s="63">
        <v>78.6</v>
      </c>
      <c r="AI35" s="204" t="s">
        <v>96</v>
      </c>
    </row>
    <row r="36" spans="1:35" ht="15" customHeight="1">
      <c r="A36" s="201" t="s">
        <v>36</v>
      </c>
      <c r="B36" s="202">
        <f t="shared" si="0"/>
        <v>35</v>
      </c>
      <c r="C36" s="63">
        <v>1224.2</v>
      </c>
      <c r="D36" s="64">
        <f t="shared" si="1"/>
        <v>26</v>
      </c>
      <c r="E36" s="63">
        <v>84.4</v>
      </c>
      <c r="F36" s="64">
        <f t="shared" si="2"/>
        <v>19</v>
      </c>
      <c r="G36" s="63">
        <v>95</v>
      </c>
      <c r="H36" s="64">
        <f t="shared" si="14"/>
      </c>
      <c r="I36" s="63" t="s">
        <v>218</v>
      </c>
      <c r="J36" s="64">
        <f t="shared" si="3"/>
        <v>27</v>
      </c>
      <c r="K36" s="63">
        <v>82.4</v>
      </c>
      <c r="L36" s="64">
        <f t="shared" si="4"/>
        <v>29</v>
      </c>
      <c r="M36" s="63">
        <v>82.7</v>
      </c>
      <c r="N36" s="64">
        <f t="shared" si="5"/>
        <v>35</v>
      </c>
      <c r="O36" s="63">
        <v>81.2</v>
      </c>
      <c r="P36" s="64">
        <f t="shared" si="5"/>
        <v>9</v>
      </c>
      <c r="Q36" s="63">
        <v>95</v>
      </c>
      <c r="R36" s="63"/>
      <c r="S36" s="64">
        <f t="shared" si="6"/>
        <v>15</v>
      </c>
      <c r="T36" s="257">
        <v>0.3</v>
      </c>
      <c r="U36" s="64">
        <f t="shared" si="7"/>
        <v>7</v>
      </c>
      <c r="V36" s="63">
        <v>59</v>
      </c>
      <c r="W36" s="64">
        <f t="shared" si="8"/>
        <v>42</v>
      </c>
      <c r="X36" s="63">
        <v>80</v>
      </c>
      <c r="Y36" s="64">
        <f t="shared" si="9"/>
        <v>20</v>
      </c>
      <c r="Z36" s="259">
        <v>39.6</v>
      </c>
      <c r="AA36" s="64">
        <f t="shared" si="10"/>
        <v>25</v>
      </c>
      <c r="AB36" s="63">
        <v>201.2</v>
      </c>
      <c r="AC36" s="64">
        <f t="shared" si="11"/>
        <v>25</v>
      </c>
      <c r="AD36" s="63">
        <v>192.6</v>
      </c>
      <c r="AE36" s="64">
        <f t="shared" si="12"/>
        <v>23</v>
      </c>
      <c r="AF36" s="63">
        <v>61.7</v>
      </c>
      <c r="AG36" s="64">
        <f t="shared" si="13"/>
        <v>22</v>
      </c>
      <c r="AH36" s="63">
        <v>60.6</v>
      </c>
      <c r="AI36" s="204" t="s">
        <v>97</v>
      </c>
    </row>
    <row r="37" spans="1:35" ht="15" customHeight="1">
      <c r="A37" s="201" t="s">
        <v>37</v>
      </c>
      <c r="B37" s="202">
        <f t="shared" si="0"/>
        <v>36</v>
      </c>
      <c r="C37" s="63">
        <v>1222.2</v>
      </c>
      <c r="D37" s="64">
        <f t="shared" si="1"/>
        <v>43</v>
      </c>
      <c r="E37" s="63">
        <v>81.5</v>
      </c>
      <c r="F37" s="64">
        <f t="shared" si="2"/>
        <v>47</v>
      </c>
      <c r="G37" s="63">
        <v>80.1</v>
      </c>
      <c r="H37" s="64">
        <f t="shared" si="14"/>
        <v>2</v>
      </c>
      <c r="I37" s="63">
        <v>49.4</v>
      </c>
      <c r="J37" s="64">
        <f t="shared" si="3"/>
        <v>33</v>
      </c>
      <c r="K37" s="63">
        <v>81.7</v>
      </c>
      <c r="L37" s="64">
        <f t="shared" si="4"/>
        <v>40</v>
      </c>
      <c r="M37" s="63">
        <v>79.8</v>
      </c>
      <c r="N37" s="64">
        <f t="shared" si="5"/>
        <v>7</v>
      </c>
      <c r="O37" s="63">
        <v>86.8</v>
      </c>
      <c r="P37" s="64">
        <f t="shared" si="5"/>
        <v>23</v>
      </c>
      <c r="Q37" s="63">
        <v>92</v>
      </c>
      <c r="R37" s="63"/>
      <c r="S37" s="64">
        <f t="shared" si="6"/>
        <v>11</v>
      </c>
      <c r="T37" s="257">
        <v>0.9</v>
      </c>
      <c r="U37" s="64">
        <f t="shared" si="7"/>
        <v>5</v>
      </c>
      <c r="V37" s="63">
        <v>63.3</v>
      </c>
      <c r="W37" s="64">
        <f t="shared" si="8"/>
        <v>12</v>
      </c>
      <c r="X37" s="63">
        <v>85.1</v>
      </c>
      <c r="Y37" s="64">
        <f t="shared" si="9"/>
        <v>39</v>
      </c>
      <c r="Z37" s="259">
        <v>32.9</v>
      </c>
      <c r="AA37" s="64">
        <f t="shared" si="10"/>
        <v>29</v>
      </c>
      <c r="AB37" s="63">
        <v>194.8</v>
      </c>
      <c r="AC37" s="64">
        <f t="shared" si="11"/>
        <v>27</v>
      </c>
      <c r="AD37" s="63">
        <v>187.7</v>
      </c>
      <c r="AE37" s="64">
        <f t="shared" si="12"/>
        <v>36</v>
      </c>
      <c r="AF37" s="63">
        <v>56.7</v>
      </c>
      <c r="AG37" s="64">
        <f t="shared" si="13"/>
        <v>35</v>
      </c>
      <c r="AH37" s="63">
        <v>56.1</v>
      </c>
      <c r="AI37" s="204" t="s">
        <v>98</v>
      </c>
    </row>
    <row r="38" spans="1:35" ht="15" customHeight="1">
      <c r="A38" s="201" t="s">
        <v>38</v>
      </c>
      <c r="B38" s="202">
        <f t="shared" si="0"/>
        <v>24</v>
      </c>
      <c r="C38" s="63">
        <v>1336.9</v>
      </c>
      <c r="D38" s="64">
        <f t="shared" si="1"/>
        <v>38</v>
      </c>
      <c r="E38" s="63">
        <v>82.6</v>
      </c>
      <c r="F38" s="64">
        <f t="shared" si="2"/>
        <v>38</v>
      </c>
      <c r="G38" s="63">
        <v>91.1</v>
      </c>
      <c r="H38" s="64">
        <f t="shared" si="14"/>
        <v>1</v>
      </c>
      <c r="I38" s="63">
        <v>59.8</v>
      </c>
      <c r="J38" s="64">
        <f t="shared" si="3"/>
        <v>35</v>
      </c>
      <c r="K38" s="63">
        <v>81.3</v>
      </c>
      <c r="L38" s="64">
        <f t="shared" si="4"/>
        <v>33</v>
      </c>
      <c r="M38" s="63">
        <v>82.2</v>
      </c>
      <c r="N38" s="64">
        <f t="shared" si="5"/>
        <v>42</v>
      </c>
      <c r="O38" s="63">
        <v>78.9</v>
      </c>
      <c r="P38" s="64">
        <f t="shared" si="5"/>
        <v>11</v>
      </c>
      <c r="Q38" s="63">
        <v>94.8</v>
      </c>
      <c r="R38" s="63"/>
      <c r="S38" s="64">
        <f t="shared" si="6"/>
        <v>29</v>
      </c>
      <c r="T38" s="257">
        <v>0</v>
      </c>
      <c r="U38" s="64">
        <f t="shared" si="7"/>
        <v>38</v>
      </c>
      <c r="V38" s="63">
        <v>27</v>
      </c>
      <c r="W38" s="64">
        <f t="shared" si="8"/>
        <v>31</v>
      </c>
      <c r="X38" s="63">
        <v>81.7</v>
      </c>
      <c r="Y38" s="64">
        <f t="shared" si="9"/>
        <v>13</v>
      </c>
      <c r="Z38" s="259">
        <v>42.6</v>
      </c>
      <c r="AA38" s="64">
        <f t="shared" si="10"/>
        <v>13</v>
      </c>
      <c r="AB38" s="63">
        <v>240.2</v>
      </c>
      <c r="AC38" s="64">
        <f t="shared" si="11"/>
        <v>13</v>
      </c>
      <c r="AD38" s="63">
        <v>230.5</v>
      </c>
      <c r="AE38" s="64">
        <f t="shared" si="12"/>
        <v>17</v>
      </c>
      <c r="AF38" s="63">
        <v>67</v>
      </c>
      <c r="AG38" s="64">
        <f t="shared" si="13"/>
        <v>15</v>
      </c>
      <c r="AH38" s="63">
        <v>65.4</v>
      </c>
      <c r="AI38" s="204" t="s">
        <v>99</v>
      </c>
    </row>
    <row r="39" spans="1:35" s="200" customFormat="1" ht="30" customHeight="1">
      <c r="A39" s="196" t="s">
        <v>39</v>
      </c>
      <c r="B39" s="197">
        <f t="shared" si="0"/>
        <v>17</v>
      </c>
      <c r="C39" s="61">
        <v>1399.2</v>
      </c>
      <c r="D39" s="62">
        <f t="shared" si="1"/>
        <v>14</v>
      </c>
      <c r="E39" s="61">
        <v>86.9</v>
      </c>
      <c r="F39" s="62">
        <f t="shared" si="2"/>
        <v>40</v>
      </c>
      <c r="G39" s="61">
        <v>90.5</v>
      </c>
      <c r="H39" s="62">
        <f t="shared" si="14"/>
      </c>
      <c r="I39" s="61" t="s">
        <v>218</v>
      </c>
      <c r="J39" s="62">
        <f t="shared" si="3"/>
        <v>10</v>
      </c>
      <c r="K39" s="61">
        <v>86.4</v>
      </c>
      <c r="L39" s="62">
        <f t="shared" si="4"/>
        <v>18</v>
      </c>
      <c r="M39" s="61">
        <v>84.5</v>
      </c>
      <c r="N39" s="62">
        <f t="shared" si="5"/>
        <v>1</v>
      </c>
      <c r="O39" s="61">
        <v>89.5</v>
      </c>
      <c r="P39" s="62">
        <f t="shared" si="5"/>
        <v>6</v>
      </c>
      <c r="Q39" s="61">
        <v>96.2</v>
      </c>
      <c r="R39" s="61"/>
      <c r="S39" s="62">
        <f t="shared" si="6"/>
        <v>29</v>
      </c>
      <c r="T39" s="257">
        <v>0</v>
      </c>
      <c r="U39" s="62">
        <f t="shared" si="7"/>
        <v>32</v>
      </c>
      <c r="V39" s="61">
        <v>33.4</v>
      </c>
      <c r="W39" s="62">
        <f t="shared" si="8"/>
        <v>1</v>
      </c>
      <c r="X39" s="61">
        <v>89.6</v>
      </c>
      <c r="Y39" s="62">
        <f t="shared" si="9"/>
        <v>12</v>
      </c>
      <c r="Z39" s="258">
        <v>43.2</v>
      </c>
      <c r="AA39" s="62">
        <f t="shared" si="10"/>
        <v>3</v>
      </c>
      <c r="AB39" s="61">
        <v>269.8</v>
      </c>
      <c r="AC39" s="62">
        <f t="shared" si="11"/>
        <v>5</v>
      </c>
      <c r="AD39" s="61">
        <v>249.2</v>
      </c>
      <c r="AE39" s="62">
        <f t="shared" si="12"/>
        <v>30</v>
      </c>
      <c r="AF39" s="61">
        <v>58</v>
      </c>
      <c r="AG39" s="62">
        <f t="shared" si="13"/>
        <v>31</v>
      </c>
      <c r="AH39" s="61">
        <v>56.9</v>
      </c>
      <c r="AI39" s="199" t="s">
        <v>100</v>
      </c>
    </row>
    <row r="40" spans="1:35" ht="15" customHeight="1">
      <c r="A40" s="201" t="s">
        <v>40</v>
      </c>
      <c r="B40" s="202">
        <f t="shared" si="0"/>
        <v>20</v>
      </c>
      <c r="C40" s="63">
        <v>1376.4</v>
      </c>
      <c r="D40" s="64">
        <f t="shared" si="1"/>
        <v>13</v>
      </c>
      <c r="E40" s="63">
        <v>87</v>
      </c>
      <c r="F40" s="64">
        <f t="shared" si="2"/>
        <v>15</v>
      </c>
      <c r="G40" s="63">
        <v>95.1</v>
      </c>
      <c r="H40" s="64">
        <f t="shared" si="14"/>
      </c>
      <c r="I40" s="63" t="s">
        <v>218</v>
      </c>
      <c r="J40" s="64">
        <f t="shared" si="3"/>
        <v>14</v>
      </c>
      <c r="K40" s="63">
        <v>85.6</v>
      </c>
      <c r="L40" s="64">
        <f t="shared" si="4"/>
        <v>9</v>
      </c>
      <c r="M40" s="63">
        <v>87.5</v>
      </c>
      <c r="N40" s="64">
        <f t="shared" si="5"/>
        <v>17</v>
      </c>
      <c r="O40" s="63">
        <v>83.9</v>
      </c>
      <c r="P40" s="64">
        <f t="shared" si="5"/>
        <v>22</v>
      </c>
      <c r="Q40" s="63">
        <v>92.3</v>
      </c>
      <c r="R40" s="63"/>
      <c r="S40" s="64">
        <f t="shared" si="6"/>
        <v>29</v>
      </c>
      <c r="T40" s="257">
        <v>0</v>
      </c>
      <c r="U40" s="64">
        <f t="shared" si="7"/>
        <v>47</v>
      </c>
      <c r="V40" s="63">
        <v>14.2</v>
      </c>
      <c r="W40" s="64">
        <f t="shared" si="8"/>
        <v>11</v>
      </c>
      <c r="X40" s="63">
        <v>85.4</v>
      </c>
      <c r="Y40" s="64">
        <f t="shared" si="9"/>
        <v>42</v>
      </c>
      <c r="Z40" s="259">
        <v>30.9</v>
      </c>
      <c r="AA40" s="64">
        <f t="shared" si="10"/>
        <v>11</v>
      </c>
      <c r="AB40" s="63">
        <v>244.4</v>
      </c>
      <c r="AC40" s="64">
        <f t="shared" si="11"/>
        <v>12</v>
      </c>
      <c r="AD40" s="63">
        <v>230.6</v>
      </c>
      <c r="AE40" s="64">
        <f t="shared" si="12"/>
        <v>43</v>
      </c>
      <c r="AF40" s="63">
        <v>51.5</v>
      </c>
      <c r="AG40" s="64">
        <f t="shared" si="13"/>
        <v>43</v>
      </c>
      <c r="AH40" s="63">
        <v>49.9</v>
      </c>
      <c r="AI40" s="204" t="s">
        <v>101</v>
      </c>
    </row>
    <row r="41" spans="1:35" ht="15" customHeight="1">
      <c r="A41" s="201" t="s">
        <v>41</v>
      </c>
      <c r="B41" s="202">
        <f t="shared" si="0"/>
        <v>10</v>
      </c>
      <c r="C41" s="63">
        <v>1545</v>
      </c>
      <c r="D41" s="64">
        <f t="shared" si="1"/>
        <v>44</v>
      </c>
      <c r="E41" s="63">
        <v>81.1</v>
      </c>
      <c r="F41" s="64">
        <f t="shared" si="2"/>
        <v>42</v>
      </c>
      <c r="G41" s="63">
        <v>89.8</v>
      </c>
      <c r="H41" s="64">
        <f t="shared" si="14"/>
      </c>
      <c r="I41" s="63" t="s">
        <v>218</v>
      </c>
      <c r="J41" s="64">
        <f t="shared" si="3"/>
        <v>44</v>
      </c>
      <c r="K41" s="63">
        <v>79.3</v>
      </c>
      <c r="L41" s="64">
        <f t="shared" si="4"/>
        <v>44</v>
      </c>
      <c r="M41" s="63">
        <v>78.7</v>
      </c>
      <c r="N41" s="64">
        <f t="shared" si="5"/>
        <v>37</v>
      </c>
      <c r="O41" s="63">
        <v>80.8</v>
      </c>
      <c r="P41" s="64">
        <f t="shared" si="5"/>
        <v>40</v>
      </c>
      <c r="Q41" s="63">
        <v>84</v>
      </c>
      <c r="R41" s="63"/>
      <c r="S41" s="64">
        <f t="shared" si="6"/>
        <v>22</v>
      </c>
      <c r="T41" s="257">
        <v>0.1</v>
      </c>
      <c r="U41" s="64">
        <f t="shared" si="7"/>
        <v>19</v>
      </c>
      <c r="V41" s="63">
        <v>45.4</v>
      </c>
      <c r="W41" s="64">
        <f t="shared" si="8"/>
        <v>23</v>
      </c>
      <c r="X41" s="63">
        <v>83.3</v>
      </c>
      <c r="Y41" s="64">
        <f t="shared" si="9"/>
        <v>26</v>
      </c>
      <c r="Z41" s="259">
        <v>37.3</v>
      </c>
      <c r="AA41" s="64">
        <f t="shared" si="10"/>
        <v>7</v>
      </c>
      <c r="AB41" s="63">
        <v>253.7</v>
      </c>
      <c r="AC41" s="64">
        <f t="shared" si="11"/>
        <v>7</v>
      </c>
      <c r="AD41" s="63">
        <v>240.9</v>
      </c>
      <c r="AE41" s="64">
        <f t="shared" si="12"/>
        <v>6</v>
      </c>
      <c r="AF41" s="63">
        <v>79.9</v>
      </c>
      <c r="AG41" s="64">
        <f t="shared" si="13"/>
        <v>6</v>
      </c>
      <c r="AH41" s="63">
        <v>77.4</v>
      </c>
      <c r="AI41" s="204" t="s">
        <v>102</v>
      </c>
    </row>
    <row r="42" spans="1:35" ht="15" customHeight="1">
      <c r="A42" s="201" t="s">
        <v>42</v>
      </c>
      <c r="B42" s="202">
        <f t="shared" si="0"/>
        <v>22</v>
      </c>
      <c r="C42" s="63">
        <v>1368.5</v>
      </c>
      <c r="D42" s="64">
        <f t="shared" si="1"/>
        <v>6</v>
      </c>
      <c r="E42" s="63">
        <v>88.8</v>
      </c>
      <c r="F42" s="64">
        <f t="shared" si="2"/>
        <v>12</v>
      </c>
      <c r="G42" s="63">
        <v>95.5</v>
      </c>
      <c r="H42" s="64">
        <f t="shared" si="14"/>
      </c>
      <c r="I42" s="63" t="s">
        <v>218</v>
      </c>
      <c r="J42" s="64">
        <f t="shared" si="3"/>
        <v>4</v>
      </c>
      <c r="K42" s="63">
        <v>87.3</v>
      </c>
      <c r="L42" s="64">
        <f t="shared" si="4"/>
        <v>12</v>
      </c>
      <c r="M42" s="63">
        <v>87.2</v>
      </c>
      <c r="N42" s="64">
        <f t="shared" si="5"/>
        <v>3</v>
      </c>
      <c r="O42" s="63">
        <v>87.8</v>
      </c>
      <c r="P42" s="64">
        <f t="shared" si="5"/>
        <v>7</v>
      </c>
      <c r="Q42" s="63">
        <v>95.7</v>
      </c>
      <c r="R42" s="63"/>
      <c r="S42" s="64">
        <f t="shared" si="6"/>
        <v>15</v>
      </c>
      <c r="T42" s="257">
        <v>0.3</v>
      </c>
      <c r="U42" s="64">
        <f t="shared" si="7"/>
        <v>12</v>
      </c>
      <c r="V42" s="63">
        <v>50.5</v>
      </c>
      <c r="W42" s="64">
        <f t="shared" si="8"/>
        <v>4</v>
      </c>
      <c r="X42" s="63">
        <v>87.7</v>
      </c>
      <c r="Y42" s="64">
        <f t="shared" si="9"/>
        <v>2</v>
      </c>
      <c r="Z42" s="259">
        <v>53.9</v>
      </c>
      <c r="AA42" s="64">
        <f t="shared" si="10"/>
        <v>16</v>
      </c>
      <c r="AB42" s="63">
        <v>234.3</v>
      </c>
      <c r="AC42" s="64">
        <f t="shared" si="11"/>
        <v>16</v>
      </c>
      <c r="AD42" s="63">
        <v>223.1</v>
      </c>
      <c r="AE42" s="64">
        <f t="shared" si="12"/>
        <v>7</v>
      </c>
      <c r="AF42" s="63">
        <v>75.9</v>
      </c>
      <c r="AG42" s="64">
        <f t="shared" si="13"/>
        <v>7</v>
      </c>
      <c r="AH42" s="63">
        <v>74.2</v>
      </c>
      <c r="AI42" s="204" t="s">
        <v>103</v>
      </c>
    </row>
    <row r="43" spans="1:35" ht="15" customHeight="1">
      <c r="A43" s="201" t="s">
        <v>43</v>
      </c>
      <c r="B43" s="202">
        <f t="shared" si="0"/>
        <v>23</v>
      </c>
      <c r="C43" s="63">
        <v>1338.1</v>
      </c>
      <c r="D43" s="64">
        <f t="shared" si="1"/>
        <v>1</v>
      </c>
      <c r="E43" s="63">
        <v>91.1</v>
      </c>
      <c r="F43" s="64">
        <f t="shared" si="2"/>
        <v>8</v>
      </c>
      <c r="G43" s="63">
        <v>95.8</v>
      </c>
      <c r="H43" s="64">
        <f t="shared" si="14"/>
      </c>
      <c r="I43" s="63" t="s">
        <v>218</v>
      </c>
      <c r="J43" s="64">
        <f t="shared" si="3"/>
        <v>1</v>
      </c>
      <c r="K43" s="63">
        <v>89.9</v>
      </c>
      <c r="L43" s="64">
        <f t="shared" si="4"/>
        <v>1</v>
      </c>
      <c r="M43" s="63">
        <v>90.4</v>
      </c>
      <c r="N43" s="64">
        <f t="shared" si="5"/>
        <v>2</v>
      </c>
      <c r="O43" s="63">
        <v>88.3</v>
      </c>
      <c r="P43" s="64">
        <f t="shared" si="5"/>
        <v>3</v>
      </c>
      <c r="Q43" s="63">
        <v>96.6</v>
      </c>
      <c r="R43" s="63"/>
      <c r="S43" s="64">
        <f t="shared" si="6"/>
        <v>29</v>
      </c>
      <c r="T43" s="257">
        <v>0</v>
      </c>
      <c r="U43" s="64">
        <f t="shared" si="7"/>
        <v>9</v>
      </c>
      <c r="V43" s="63">
        <v>54.4</v>
      </c>
      <c r="W43" s="64">
        <f t="shared" si="8"/>
        <v>2</v>
      </c>
      <c r="X43" s="63">
        <v>89.5</v>
      </c>
      <c r="Y43" s="64">
        <f t="shared" si="9"/>
        <v>3</v>
      </c>
      <c r="Z43" s="259">
        <v>51.4</v>
      </c>
      <c r="AA43" s="64">
        <f t="shared" si="10"/>
        <v>18</v>
      </c>
      <c r="AB43" s="63">
        <v>229.1</v>
      </c>
      <c r="AC43" s="64">
        <f t="shared" si="11"/>
        <v>18</v>
      </c>
      <c r="AD43" s="63">
        <v>215.3</v>
      </c>
      <c r="AE43" s="64">
        <f t="shared" si="12"/>
        <v>29</v>
      </c>
      <c r="AF43" s="63">
        <v>59.4</v>
      </c>
      <c r="AG43" s="64">
        <f t="shared" si="13"/>
        <v>29</v>
      </c>
      <c r="AH43" s="63">
        <v>58.2</v>
      </c>
      <c r="AI43" s="204" t="s">
        <v>77</v>
      </c>
    </row>
    <row r="44" spans="1:35" s="200" customFormat="1" ht="30" customHeight="1">
      <c r="A44" s="196" t="s">
        <v>44</v>
      </c>
      <c r="B44" s="197">
        <f t="shared" si="0"/>
        <v>7</v>
      </c>
      <c r="C44" s="61">
        <v>1663.9</v>
      </c>
      <c r="D44" s="62">
        <f t="shared" si="1"/>
        <v>11</v>
      </c>
      <c r="E44" s="61">
        <v>87.6</v>
      </c>
      <c r="F44" s="62">
        <f t="shared" si="2"/>
        <v>23</v>
      </c>
      <c r="G44" s="61">
        <v>94.4</v>
      </c>
      <c r="H44" s="62">
        <f t="shared" si="14"/>
      </c>
      <c r="I44" s="61" t="s">
        <v>218</v>
      </c>
      <c r="J44" s="62">
        <f t="shared" si="3"/>
        <v>15</v>
      </c>
      <c r="K44" s="61">
        <v>85.4</v>
      </c>
      <c r="L44" s="62">
        <f t="shared" si="4"/>
        <v>8</v>
      </c>
      <c r="M44" s="61">
        <v>87.6</v>
      </c>
      <c r="N44" s="62">
        <f t="shared" si="5"/>
        <v>43</v>
      </c>
      <c r="O44" s="61">
        <v>78.8</v>
      </c>
      <c r="P44" s="62">
        <f t="shared" si="5"/>
        <v>44</v>
      </c>
      <c r="Q44" s="61">
        <v>83.3</v>
      </c>
      <c r="R44" s="61"/>
      <c r="S44" s="62">
        <f t="shared" si="6"/>
        <v>29</v>
      </c>
      <c r="T44" s="257">
        <v>0</v>
      </c>
      <c r="U44" s="62">
        <f t="shared" si="7"/>
        <v>43</v>
      </c>
      <c r="V44" s="61">
        <v>22.6</v>
      </c>
      <c r="W44" s="62">
        <f t="shared" si="8"/>
        <v>24</v>
      </c>
      <c r="X44" s="61">
        <v>83</v>
      </c>
      <c r="Y44" s="62">
        <f t="shared" si="9"/>
        <v>5</v>
      </c>
      <c r="Z44" s="258">
        <v>48.1</v>
      </c>
      <c r="AA44" s="62">
        <f t="shared" si="10"/>
        <v>1</v>
      </c>
      <c r="AB44" s="61">
        <v>275.7</v>
      </c>
      <c r="AC44" s="62">
        <f t="shared" si="11"/>
        <v>1</v>
      </c>
      <c r="AD44" s="61">
        <v>258.7</v>
      </c>
      <c r="AE44" s="62">
        <f t="shared" si="12"/>
        <v>2</v>
      </c>
      <c r="AF44" s="61">
        <v>93.8</v>
      </c>
      <c r="AG44" s="62">
        <f t="shared" si="13"/>
        <v>3</v>
      </c>
      <c r="AH44" s="61">
        <v>89.9</v>
      </c>
      <c r="AI44" s="199" t="s">
        <v>104</v>
      </c>
    </row>
    <row r="45" spans="1:35" ht="15" customHeight="1">
      <c r="A45" s="201" t="s">
        <v>45</v>
      </c>
      <c r="B45" s="202">
        <f t="shared" si="0"/>
        <v>2</v>
      </c>
      <c r="C45" s="63">
        <v>1823.5</v>
      </c>
      <c r="D45" s="64">
        <f t="shared" si="1"/>
        <v>38</v>
      </c>
      <c r="E45" s="63">
        <v>82.6</v>
      </c>
      <c r="F45" s="64">
        <f t="shared" si="2"/>
        <v>14</v>
      </c>
      <c r="G45" s="63">
        <v>95.3</v>
      </c>
      <c r="H45" s="64">
        <f t="shared" si="14"/>
      </c>
      <c r="I45" s="63" t="s">
        <v>218</v>
      </c>
      <c r="J45" s="64">
        <f t="shared" si="3"/>
        <v>42</v>
      </c>
      <c r="K45" s="63">
        <v>80.2</v>
      </c>
      <c r="L45" s="64">
        <f t="shared" si="4"/>
        <v>46</v>
      </c>
      <c r="M45" s="63">
        <v>77.7</v>
      </c>
      <c r="N45" s="64">
        <f t="shared" si="5"/>
        <v>20</v>
      </c>
      <c r="O45" s="63">
        <v>83.6</v>
      </c>
      <c r="P45" s="64">
        <f t="shared" si="5"/>
        <v>42</v>
      </c>
      <c r="Q45" s="63">
        <v>83.9</v>
      </c>
      <c r="R45" s="63"/>
      <c r="S45" s="64">
        <f t="shared" si="6"/>
        <v>29</v>
      </c>
      <c r="T45" s="257">
        <v>0</v>
      </c>
      <c r="U45" s="64">
        <f t="shared" si="7"/>
        <v>37</v>
      </c>
      <c r="V45" s="63">
        <v>27.1</v>
      </c>
      <c r="W45" s="64">
        <f t="shared" si="8"/>
        <v>8</v>
      </c>
      <c r="X45" s="63">
        <v>86</v>
      </c>
      <c r="Y45" s="64">
        <f t="shared" si="9"/>
        <v>8</v>
      </c>
      <c r="Z45" s="259">
        <v>45.6</v>
      </c>
      <c r="AA45" s="64">
        <f t="shared" si="10"/>
        <v>12</v>
      </c>
      <c r="AB45" s="63">
        <v>243.5</v>
      </c>
      <c r="AC45" s="64">
        <f t="shared" si="11"/>
        <v>11</v>
      </c>
      <c r="AD45" s="63">
        <v>232.9</v>
      </c>
      <c r="AE45" s="64">
        <f t="shared" si="12"/>
        <v>30</v>
      </c>
      <c r="AF45" s="63">
        <v>58</v>
      </c>
      <c r="AG45" s="64">
        <f t="shared" si="13"/>
        <v>32</v>
      </c>
      <c r="AH45" s="63">
        <v>56.7</v>
      </c>
      <c r="AI45" s="204" t="s">
        <v>105</v>
      </c>
    </row>
    <row r="46" spans="1:35" ht="15" customHeight="1">
      <c r="A46" s="201" t="s">
        <v>186</v>
      </c>
      <c r="B46" s="202">
        <f t="shared" si="0"/>
        <v>6</v>
      </c>
      <c r="C46" s="63">
        <v>1691.5</v>
      </c>
      <c r="D46" s="64">
        <f t="shared" si="1"/>
        <v>14</v>
      </c>
      <c r="E46" s="63">
        <v>86.9</v>
      </c>
      <c r="F46" s="64">
        <f t="shared" si="2"/>
        <v>39</v>
      </c>
      <c r="G46" s="63">
        <v>91</v>
      </c>
      <c r="H46" s="64">
        <f t="shared" si="14"/>
      </c>
      <c r="I46" s="63" t="s">
        <v>218</v>
      </c>
      <c r="J46" s="64">
        <f t="shared" si="3"/>
        <v>13</v>
      </c>
      <c r="K46" s="63">
        <v>86</v>
      </c>
      <c r="L46" s="64">
        <f t="shared" si="4"/>
        <v>11</v>
      </c>
      <c r="M46" s="63">
        <v>87.3</v>
      </c>
      <c r="N46" s="64">
        <f t="shared" si="5"/>
        <v>23</v>
      </c>
      <c r="O46" s="63">
        <v>83.5</v>
      </c>
      <c r="P46" s="64">
        <f t="shared" si="5"/>
        <v>26</v>
      </c>
      <c r="Q46" s="63">
        <v>90.3</v>
      </c>
      <c r="R46" s="63"/>
      <c r="S46" s="64">
        <f t="shared" si="6"/>
        <v>5</v>
      </c>
      <c r="T46" s="257">
        <v>10.6</v>
      </c>
      <c r="U46" s="64">
        <f t="shared" si="7"/>
        <v>42</v>
      </c>
      <c r="V46" s="63">
        <v>22.7</v>
      </c>
      <c r="W46" s="64">
        <f t="shared" si="8"/>
        <v>10</v>
      </c>
      <c r="X46" s="63">
        <v>85.5</v>
      </c>
      <c r="Y46" s="64">
        <f t="shared" si="9"/>
        <v>34</v>
      </c>
      <c r="Z46" s="259">
        <v>35.6</v>
      </c>
      <c r="AA46" s="64">
        <f t="shared" si="10"/>
        <v>17</v>
      </c>
      <c r="AB46" s="63">
        <v>231</v>
      </c>
      <c r="AC46" s="64">
        <f t="shared" si="11"/>
        <v>17</v>
      </c>
      <c r="AD46" s="63">
        <v>222.1</v>
      </c>
      <c r="AE46" s="64">
        <f t="shared" si="12"/>
        <v>33</v>
      </c>
      <c r="AF46" s="63">
        <v>57.7</v>
      </c>
      <c r="AG46" s="64">
        <f t="shared" si="13"/>
        <v>30</v>
      </c>
      <c r="AH46" s="63">
        <v>57.1</v>
      </c>
      <c r="AI46" s="204" t="s">
        <v>92</v>
      </c>
    </row>
    <row r="47" spans="1:35" ht="15" customHeight="1">
      <c r="A47" s="201" t="s">
        <v>46</v>
      </c>
      <c r="B47" s="202">
        <f t="shared" si="0"/>
        <v>1</v>
      </c>
      <c r="C47" s="63">
        <v>1976.7</v>
      </c>
      <c r="D47" s="64">
        <f t="shared" si="1"/>
        <v>12</v>
      </c>
      <c r="E47" s="63">
        <v>87.2</v>
      </c>
      <c r="F47" s="64">
        <f t="shared" si="2"/>
        <v>46</v>
      </c>
      <c r="G47" s="63">
        <v>88</v>
      </c>
      <c r="H47" s="64">
        <f t="shared" si="14"/>
      </c>
      <c r="I47" s="63" t="s">
        <v>218</v>
      </c>
      <c r="J47" s="64">
        <f t="shared" si="3"/>
        <v>6</v>
      </c>
      <c r="K47" s="63">
        <v>87.1</v>
      </c>
      <c r="L47" s="64">
        <f t="shared" si="4"/>
        <v>4</v>
      </c>
      <c r="M47" s="63">
        <v>89.4</v>
      </c>
      <c r="N47" s="64">
        <f t="shared" si="5"/>
        <v>25</v>
      </c>
      <c r="O47" s="63">
        <v>82.7</v>
      </c>
      <c r="P47" s="64">
        <f t="shared" si="5"/>
        <v>32</v>
      </c>
      <c r="Q47" s="63">
        <v>88.9</v>
      </c>
      <c r="R47" s="63"/>
      <c r="S47" s="64">
        <f t="shared" si="6"/>
        <v>19</v>
      </c>
      <c r="T47" s="257">
        <v>0.2</v>
      </c>
      <c r="U47" s="64">
        <f t="shared" si="7"/>
        <v>44</v>
      </c>
      <c r="V47" s="63">
        <v>20.5</v>
      </c>
      <c r="W47" s="64">
        <f t="shared" si="8"/>
        <v>13</v>
      </c>
      <c r="X47" s="63">
        <v>84.9</v>
      </c>
      <c r="Y47" s="64">
        <f t="shared" si="9"/>
        <v>6</v>
      </c>
      <c r="Z47" s="259">
        <v>47.5</v>
      </c>
      <c r="AA47" s="64">
        <f t="shared" si="10"/>
        <v>3</v>
      </c>
      <c r="AB47" s="63">
        <v>269.8</v>
      </c>
      <c r="AC47" s="64">
        <f t="shared" si="11"/>
        <v>2</v>
      </c>
      <c r="AD47" s="63">
        <v>258.5</v>
      </c>
      <c r="AE47" s="64">
        <f t="shared" si="12"/>
        <v>34</v>
      </c>
      <c r="AF47" s="63">
        <v>57.3</v>
      </c>
      <c r="AG47" s="64">
        <f t="shared" si="13"/>
        <v>33</v>
      </c>
      <c r="AH47" s="63">
        <v>56.5</v>
      </c>
      <c r="AI47" s="204" t="s">
        <v>106</v>
      </c>
    </row>
    <row r="48" spans="1:35" ht="15" customHeight="1">
      <c r="A48" s="201" t="s">
        <v>47</v>
      </c>
      <c r="B48" s="202">
        <f t="shared" si="0"/>
        <v>30</v>
      </c>
      <c r="C48" s="63">
        <v>1291.9</v>
      </c>
      <c r="D48" s="64">
        <f t="shared" si="1"/>
        <v>10</v>
      </c>
      <c r="E48" s="63">
        <v>87.8</v>
      </c>
      <c r="F48" s="64">
        <f t="shared" si="2"/>
        <v>8</v>
      </c>
      <c r="G48" s="63">
        <v>95.8</v>
      </c>
      <c r="H48" s="64">
        <f t="shared" si="14"/>
      </c>
      <c r="I48" s="63" t="s">
        <v>218</v>
      </c>
      <c r="J48" s="64">
        <f t="shared" si="3"/>
        <v>11</v>
      </c>
      <c r="K48" s="63">
        <v>86.3</v>
      </c>
      <c r="L48" s="64">
        <f t="shared" si="4"/>
        <v>10</v>
      </c>
      <c r="M48" s="63">
        <v>87.4</v>
      </c>
      <c r="N48" s="64">
        <f t="shared" si="5"/>
        <v>18</v>
      </c>
      <c r="O48" s="63">
        <v>83.8</v>
      </c>
      <c r="P48" s="64">
        <f t="shared" si="5"/>
        <v>21</v>
      </c>
      <c r="Q48" s="63">
        <v>92.4</v>
      </c>
      <c r="R48" s="63"/>
      <c r="S48" s="64">
        <f t="shared" si="6"/>
        <v>2</v>
      </c>
      <c r="T48" s="257">
        <v>18.2</v>
      </c>
      <c r="U48" s="64">
        <f t="shared" si="7"/>
        <v>16</v>
      </c>
      <c r="V48" s="63">
        <v>48.3</v>
      </c>
      <c r="W48" s="64">
        <f t="shared" si="8"/>
        <v>30</v>
      </c>
      <c r="X48" s="63">
        <v>81.8</v>
      </c>
      <c r="Y48" s="64">
        <f t="shared" si="9"/>
        <v>4</v>
      </c>
      <c r="Z48" s="259">
        <v>50.3</v>
      </c>
      <c r="AA48" s="64">
        <f t="shared" si="10"/>
        <v>6</v>
      </c>
      <c r="AB48" s="63">
        <v>262.3</v>
      </c>
      <c r="AC48" s="64">
        <f t="shared" si="11"/>
        <v>6</v>
      </c>
      <c r="AD48" s="63">
        <v>247.6</v>
      </c>
      <c r="AE48" s="64">
        <f t="shared" si="12"/>
        <v>2</v>
      </c>
      <c r="AF48" s="63">
        <v>93.8</v>
      </c>
      <c r="AG48" s="64">
        <f t="shared" si="13"/>
        <v>2</v>
      </c>
      <c r="AH48" s="63">
        <v>90.4</v>
      </c>
      <c r="AI48" s="204" t="s">
        <v>78</v>
      </c>
    </row>
    <row r="49" spans="1:35" s="200" customFormat="1" ht="30" customHeight="1">
      <c r="A49" s="196" t="s">
        <v>48</v>
      </c>
      <c r="B49" s="197">
        <f t="shared" si="0"/>
        <v>15</v>
      </c>
      <c r="C49" s="61">
        <v>1421.9</v>
      </c>
      <c r="D49" s="62">
        <f t="shared" si="1"/>
        <v>8</v>
      </c>
      <c r="E49" s="61">
        <v>88.5</v>
      </c>
      <c r="F49" s="62">
        <f t="shared" si="2"/>
        <v>21</v>
      </c>
      <c r="G49" s="61">
        <v>94.7</v>
      </c>
      <c r="H49" s="62">
        <f t="shared" si="14"/>
      </c>
      <c r="I49" s="61" t="s">
        <v>218</v>
      </c>
      <c r="J49" s="62">
        <f t="shared" si="3"/>
        <v>6</v>
      </c>
      <c r="K49" s="61">
        <v>87.1</v>
      </c>
      <c r="L49" s="62">
        <f t="shared" si="4"/>
        <v>2</v>
      </c>
      <c r="M49" s="61">
        <v>89.7</v>
      </c>
      <c r="N49" s="62">
        <f t="shared" si="5"/>
        <v>24</v>
      </c>
      <c r="O49" s="61">
        <v>82.8</v>
      </c>
      <c r="P49" s="62">
        <f t="shared" si="5"/>
        <v>13</v>
      </c>
      <c r="Q49" s="61">
        <v>93.7</v>
      </c>
      <c r="R49" s="61"/>
      <c r="S49" s="62">
        <f t="shared" si="6"/>
        <v>29</v>
      </c>
      <c r="T49" s="257">
        <v>0</v>
      </c>
      <c r="U49" s="62">
        <f t="shared" si="7"/>
        <v>36</v>
      </c>
      <c r="V49" s="61">
        <v>29.6</v>
      </c>
      <c r="W49" s="62">
        <f t="shared" si="8"/>
        <v>41</v>
      </c>
      <c r="X49" s="61">
        <v>80.1</v>
      </c>
      <c r="Y49" s="62">
        <f t="shared" si="9"/>
        <v>1</v>
      </c>
      <c r="Z49" s="258">
        <v>57.7</v>
      </c>
      <c r="AA49" s="62">
        <f t="shared" si="10"/>
        <v>20</v>
      </c>
      <c r="AB49" s="61">
        <v>224</v>
      </c>
      <c r="AC49" s="62">
        <f t="shared" si="11"/>
        <v>19</v>
      </c>
      <c r="AD49" s="61">
        <v>214</v>
      </c>
      <c r="AE49" s="62">
        <f t="shared" si="12"/>
        <v>27</v>
      </c>
      <c r="AF49" s="61">
        <v>60.1</v>
      </c>
      <c r="AG49" s="62">
        <f t="shared" si="13"/>
        <v>26</v>
      </c>
      <c r="AH49" s="61">
        <v>59.6</v>
      </c>
      <c r="AI49" s="199" t="s">
        <v>107</v>
      </c>
    </row>
    <row r="50" spans="1:35" ht="15" customHeight="1">
      <c r="A50" s="201" t="s">
        <v>49</v>
      </c>
      <c r="B50" s="202">
        <f t="shared" si="0"/>
        <v>19</v>
      </c>
      <c r="C50" s="63">
        <v>1390.1</v>
      </c>
      <c r="D50" s="64">
        <f t="shared" si="1"/>
        <v>7</v>
      </c>
      <c r="E50" s="63">
        <v>88.7</v>
      </c>
      <c r="F50" s="64">
        <f t="shared" si="2"/>
        <v>28</v>
      </c>
      <c r="G50" s="63">
        <v>93.6</v>
      </c>
      <c r="H50" s="64">
        <f t="shared" si="14"/>
      </c>
      <c r="I50" s="63" t="s">
        <v>218</v>
      </c>
      <c r="J50" s="64">
        <f t="shared" si="3"/>
        <v>8</v>
      </c>
      <c r="K50" s="63">
        <v>86.9</v>
      </c>
      <c r="L50" s="64">
        <f t="shared" si="4"/>
        <v>5</v>
      </c>
      <c r="M50" s="63">
        <v>88.9</v>
      </c>
      <c r="N50" s="64">
        <f t="shared" si="5"/>
        <v>28</v>
      </c>
      <c r="O50" s="63">
        <v>82.4</v>
      </c>
      <c r="P50" s="64">
        <f t="shared" si="5"/>
        <v>30</v>
      </c>
      <c r="Q50" s="63">
        <v>89.4</v>
      </c>
      <c r="R50" s="63"/>
      <c r="S50" s="64">
        <f t="shared" si="6"/>
        <v>29</v>
      </c>
      <c r="T50" s="257">
        <v>0</v>
      </c>
      <c r="U50" s="64">
        <f t="shared" si="7"/>
        <v>28</v>
      </c>
      <c r="V50" s="63">
        <v>36.8</v>
      </c>
      <c r="W50" s="64">
        <f t="shared" si="8"/>
        <v>13</v>
      </c>
      <c r="X50" s="63">
        <v>84.9</v>
      </c>
      <c r="Y50" s="64">
        <f t="shared" si="9"/>
        <v>9</v>
      </c>
      <c r="Z50" s="259">
        <v>45.2</v>
      </c>
      <c r="AA50" s="64">
        <f t="shared" si="10"/>
        <v>9</v>
      </c>
      <c r="AB50" s="63">
        <v>248.6</v>
      </c>
      <c r="AC50" s="64">
        <f t="shared" si="11"/>
        <v>10</v>
      </c>
      <c r="AD50" s="63">
        <v>234.8</v>
      </c>
      <c r="AE50" s="64">
        <f t="shared" si="12"/>
        <v>11</v>
      </c>
      <c r="AF50" s="63">
        <v>72.1</v>
      </c>
      <c r="AG50" s="64">
        <f t="shared" si="13"/>
        <v>11</v>
      </c>
      <c r="AH50" s="63">
        <v>69.9</v>
      </c>
      <c r="AI50" s="204" t="s">
        <v>89</v>
      </c>
    </row>
    <row r="51" spans="1:35" ht="15" customHeight="1">
      <c r="A51" s="201" t="s">
        <v>50</v>
      </c>
      <c r="B51" s="202">
        <f t="shared" si="0"/>
        <v>27</v>
      </c>
      <c r="C51" s="63">
        <v>1325.6</v>
      </c>
      <c r="D51" s="64">
        <f t="shared" si="1"/>
        <v>4</v>
      </c>
      <c r="E51" s="63">
        <v>89.1</v>
      </c>
      <c r="F51" s="64">
        <f t="shared" si="2"/>
        <v>13</v>
      </c>
      <c r="G51" s="63">
        <v>95.4</v>
      </c>
      <c r="H51" s="64">
        <f t="shared" si="14"/>
      </c>
      <c r="I51" s="63" t="s">
        <v>218</v>
      </c>
      <c r="J51" s="64">
        <f t="shared" si="3"/>
        <v>4</v>
      </c>
      <c r="K51" s="63">
        <v>87.3</v>
      </c>
      <c r="L51" s="64">
        <f t="shared" si="4"/>
        <v>7</v>
      </c>
      <c r="M51" s="63">
        <v>88</v>
      </c>
      <c r="N51" s="64">
        <f t="shared" si="5"/>
        <v>11</v>
      </c>
      <c r="O51" s="63">
        <v>85.1</v>
      </c>
      <c r="P51" s="64">
        <f t="shared" si="5"/>
        <v>17</v>
      </c>
      <c r="Q51" s="63">
        <v>93.2</v>
      </c>
      <c r="R51" s="63"/>
      <c r="S51" s="64">
        <f t="shared" si="6"/>
        <v>22</v>
      </c>
      <c r="T51" s="257">
        <v>0.1</v>
      </c>
      <c r="U51" s="64">
        <f t="shared" si="7"/>
        <v>24</v>
      </c>
      <c r="V51" s="63">
        <v>39.4</v>
      </c>
      <c r="W51" s="64">
        <f t="shared" si="8"/>
        <v>5</v>
      </c>
      <c r="X51" s="63">
        <v>87.1</v>
      </c>
      <c r="Y51" s="64">
        <f t="shared" si="9"/>
        <v>30</v>
      </c>
      <c r="Z51" s="259">
        <v>37</v>
      </c>
      <c r="AA51" s="64">
        <f t="shared" si="10"/>
        <v>10</v>
      </c>
      <c r="AB51" s="63">
        <v>247.3</v>
      </c>
      <c r="AC51" s="64">
        <f t="shared" si="11"/>
        <v>9</v>
      </c>
      <c r="AD51" s="63">
        <v>235.3</v>
      </c>
      <c r="AE51" s="64">
        <f t="shared" si="12"/>
        <v>21</v>
      </c>
      <c r="AF51" s="63">
        <v>62</v>
      </c>
      <c r="AG51" s="64">
        <f t="shared" si="13"/>
        <v>23</v>
      </c>
      <c r="AH51" s="63">
        <v>60.5</v>
      </c>
      <c r="AI51" s="204" t="s">
        <v>108</v>
      </c>
    </row>
    <row r="52" spans="1:35" ht="15" customHeight="1">
      <c r="A52" s="192" t="s">
        <v>51</v>
      </c>
      <c r="B52" s="223">
        <f t="shared" si="0"/>
        <v>13</v>
      </c>
      <c r="C52" s="65">
        <v>1438.1</v>
      </c>
      <c r="D52" s="66">
        <f t="shared" si="1"/>
        <v>5</v>
      </c>
      <c r="E52" s="65">
        <v>88.9</v>
      </c>
      <c r="F52" s="66">
        <f t="shared" si="2"/>
        <v>2</v>
      </c>
      <c r="G52" s="65">
        <v>97.6</v>
      </c>
      <c r="H52" s="66">
        <f t="shared" si="14"/>
      </c>
      <c r="I52" s="65" t="s">
        <v>218</v>
      </c>
      <c r="J52" s="66">
        <f t="shared" si="3"/>
        <v>12</v>
      </c>
      <c r="K52" s="65">
        <v>86.2</v>
      </c>
      <c r="L52" s="66">
        <f t="shared" si="4"/>
        <v>13</v>
      </c>
      <c r="M52" s="65">
        <v>86.7</v>
      </c>
      <c r="N52" s="66">
        <f t="shared" si="5"/>
        <v>13</v>
      </c>
      <c r="O52" s="65">
        <v>84.7</v>
      </c>
      <c r="P52" s="66">
        <f t="shared" si="5"/>
        <v>2</v>
      </c>
      <c r="Q52" s="65">
        <v>97.3</v>
      </c>
      <c r="R52" s="65"/>
      <c r="S52" s="66">
        <f t="shared" si="6"/>
        <v>29</v>
      </c>
      <c r="T52" s="255">
        <v>0</v>
      </c>
      <c r="U52" s="66">
        <f t="shared" si="7"/>
        <v>15</v>
      </c>
      <c r="V52" s="65">
        <v>49</v>
      </c>
      <c r="W52" s="66">
        <f t="shared" si="8"/>
        <v>8</v>
      </c>
      <c r="X52" s="65">
        <v>86</v>
      </c>
      <c r="Y52" s="66">
        <f t="shared" si="9"/>
        <v>14</v>
      </c>
      <c r="Z52" s="256">
        <v>42.4</v>
      </c>
      <c r="AA52" s="66">
        <f t="shared" si="10"/>
        <v>15</v>
      </c>
      <c r="AB52" s="65">
        <v>236.7</v>
      </c>
      <c r="AC52" s="66">
        <f t="shared" si="11"/>
        <v>14</v>
      </c>
      <c r="AD52" s="65">
        <v>226.5</v>
      </c>
      <c r="AE52" s="66">
        <f t="shared" si="12"/>
        <v>32</v>
      </c>
      <c r="AF52" s="65">
        <v>57.8</v>
      </c>
      <c r="AG52" s="66">
        <f t="shared" si="13"/>
        <v>33</v>
      </c>
      <c r="AH52" s="65">
        <v>56.5</v>
      </c>
      <c r="AI52" s="206" t="s">
        <v>96</v>
      </c>
    </row>
    <row r="53" spans="1:35" ht="15" customHeight="1">
      <c r="A53" s="201" t="s">
        <v>52</v>
      </c>
      <c r="B53" s="202">
        <f t="shared" si="0"/>
        <v>28</v>
      </c>
      <c r="C53" s="63">
        <v>1318.4</v>
      </c>
      <c r="D53" s="64">
        <f t="shared" si="1"/>
        <v>20</v>
      </c>
      <c r="E53" s="63">
        <v>85.7</v>
      </c>
      <c r="F53" s="64">
        <f t="shared" si="2"/>
        <v>34</v>
      </c>
      <c r="G53" s="63">
        <v>91.6</v>
      </c>
      <c r="H53" s="64">
        <f t="shared" si="14"/>
      </c>
      <c r="I53" s="63" t="s">
        <v>218</v>
      </c>
      <c r="J53" s="64">
        <f t="shared" si="3"/>
        <v>19</v>
      </c>
      <c r="K53" s="63">
        <v>84.1</v>
      </c>
      <c r="L53" s="64">
        <f t="shared" si="4"/>
        <v>25</v>
      </c>
      <c r="M53" s="63">
        <v>83.4</v>
      </c>
      <c r="N53" s="64">
        <f t="shared" si="5"/>
        <v>11</v>
      </c>
      <c r="O53" s="63">
        <v>85.1</v>
      </c>
      <c r="P53" s="64">
        <f t="shared" si="5"/>
        <v>5</v>
      </c>
      <c r="Q53" s="63">
        <v>96.3</v>
      </c>
      <c r="R53" s="63"/>
      <c r="S53" s="64">
        <f t="shared" si="6"/>
        <v>29</v>
      </c>
      <c r="T53" s="257">
        <v>0</v>
      </c>
      <c r="U53" s="64">
        <f t="shared" si="7"/>
        <v>22</v>
      </c>
      <c r="V53" s="63">
        <v>40.5</v>
      </c>
      <c r="W53" s="64">
        <f t="shared" si="8"/>
        <v>27</v>
      </c>
      <c r="X53" s="63">
        <v>82.7</v>
      </c>
      <c r="Y53" s="64">
        <f t="shared" si="9"/>
        <v>15</v>
      </c>
      <c r="Z53" s="259">
        <v>42.3</v>
      </c>
      <c r="AA53" s="64">
        <f t="shared" si="10"/>
        <v>22</v>
      </c>
      <c r="AB53" s="63">
        <v>213.5</v>
      </c>
      <c r="AC53" s="64">
        <f t="shared" si="11"/>
        <v>22</v>
      </c>
      <c r="AD53" s="63">
        <v>201.7</v>
      </c>
      <c r="AE53" s="64">
        <f t="shared" si="12"/>
        <v>35</v>
      </c>
      <c r="AF53" s="63">
        <v>56.8</v>
      </c>
      <c r="AG53" s="64">
        <f t="shared" si="13"/>
        <v>37</v>
      </c>
      <c r="AH53" s="63">
        <v>55.8</v>
      </c>
      <c r="AI53" s="204" t="s">
        <v>75</v>
      </c>
    </row>
    <row r="54" spans="1:35" s="200" customFormat="1" ht="30" customHeight="1">
      <c r="A54" s="260" t="s">
        <v>53</v>
      </c>
      <c r="B54" s="197">
        <f t="shared" si="0"/>
        <v>11</v>
      </c>
      <c r="C54" s="61">
        <v>1532.5</v>
      </c>
      <c r="D54" s="62">
        <f t="shared" si="1"/>
        <v>9</v>
      </c>
      <c r="E54" s="61">
        <v>88.3</v>
      </c>
      <c r="F54" s="62">
        <f t="shared" si="2"/>
        <v>15</v>
      </c>
      <c r="G54" s="61">
        <v>95.1</v>
      </c>
      <c r="H54" s="62">
        <f t="shared" si="14"/>
      </c>
      <c r="I54" s="61" t="s">
        <v>218</v>
      </c>
      <c r="J54" s="62">
        <f t="shared" si="3"/>
        <v>9</v>
      </c>
      <c r="K54" s="61">
        <v>86.5</v>
      </c>
      <c r="L54" s="62">
        <f t="shared" si="4"/>
        <v>14</v>
      </c>
      <c r="M54" s="61">
        <v>86.5</v>
      </c>
      <c r="N54" s="62">
        <f t="shared" si="5"/>
        <v>8</v>
      </c>
      <c r="O54" s="61">
        <v>86.4</v>
      </c>
      <c r="P54" s="62">
        <f t="shared" si="5"/>
        <v>1</v>
      </c>
      <c r="Q54" s="61">
        <v>97.9</v>
      </c>
      <c r="R54" s="61"/>
      <c r="S54" s="62">
        <f t="shared" si="6"/>
        <v>3</v>
      </c>
      <c r="T54" s="257">
        <v>12.4</v>
      </c>
      <c r="U54" s="62">
        <f t="shared" si="7"/>
        <v>23</v>
      </c>
      <c r="V54" s="61">
        <v>39.8</v>
      </c>
      <c r="W54" s="62">
        <f t="shared" si="8"/>
        <v>22</v>
      </c>
      <c r="X54" s="61">
        <v>83.5</v>
      </c>
      <c r="Y54" s="62">
        <f t="shared" si="9"/>
        <v>17</v>
      </c>
      <c r="Z54" s="258">
        <v>41.6</v>
      </c>
      <c r="AA54" s="62">
        <f t="shared" si="10"/>
        <v>21</v>
      </c>
      <c r="AB54" s="61">
        <v>218.7</v>
      </c>
      <c r="AC54" s="62">
        <f t="shared" si="11"/>
        <v>21</v>
      </c>
      <c r="AD54" s="61">
        <v>208.3</v>
      </c>
      <c r="AE54" s="62">
        <f t="shared" si="12"/>
        <v>16</v>
      </c>
      <c r="AF54" s="61">
        <v>67.2</v>
      </c>
      <c r="AG54" s="62">
        <f t="shared" si="13"/>
        <v>18</v>
      </c>
      <c r="AH54" s="61">
        <v>64.6</v>
      </c>
      <c r="AI54" s="199" t="s">
        <v>109</v>
      </c>
    </row>
    <row r="55" spans="1:35" ht="15" customHeight="1">
      <c r="A55" s="207" t="s">
        <v>54</v>
      </c>
      <c r="B55" s="208">
        <f t="shared" si="0"/>
        <v>42</v>
      </c>
      <c r="C55" s="209">
        <v>1081.1</v>
      </c>
      <c r="D55" s="67">
        <f t="shared" si="1"/>
        <v>3</v>
      </c>
      <c r="E55" s="209">
        <v>89.5</v>
      </c>
      <c r="F55" s="67">
        <f t="shared" si="2"/>
        <v>4</v>
      </c>
      <c r="G55" s="209">
        <v>96.5</v>
      </c>
      <c r="H55" s="67">
        <f t="shared" si="14"/>
      </c>
      <c r="I55" s="209" t="s">
        <v>218</v>
      </c>
      <c r="J55" s="67">
        <f t="shared" si="3"/>
        <v>3</v>
      </c>
      <c r="K55" s="209">
        <v>88</v>
      </c>
      <c r="L55" s="67">
        <f t="shared" si="4"/>
        <v>6</v>
      </c>
      <c r="M55" s="209">
        <v>88.1</v>
      </c>
      <c r="N55" s="67">
        <f t="shared" si="5"/>
        <v>3</v>
      </c>
      <c r="O55" s="209">
        <v>87.8</v>
      </c>
      <c r="P55" s="67">
        <f t="shared" si="5"/>
        <v>15</v>
      </c>
      <c r="Q55" s="209">
        <v>93.6</v>
      </c>
      <c r="R55" s="63"/>
      <c r="S55" s="67">
        <f t="shared" si="6"/>
        <v>29</v>
      </c>
      <c r="T55" s="261">
        <v>0</v>
      </c>
      <c r="U55" s="67">
        <f t="shared" si="7"/>
        <v>20</v>
      </c>
      <c r="V55" s="209">
        <v>41.9</v>
      </c>
      <c r="W55" s="67">
        <f t="shared" si="8"/>
        <v>6</v>
      </c>
      <c r="X55" s="209">
        <v>87</v>
      </c>
      <c r="Y55" s="67">
        <f t="shared" si="9"/>
        <v>16</v>
      </c>
      <c r="Z55" s="262">
        <v>41.7</v>
      </c>
      <c r="AA55" s="67">
        <f t="shared" si="10"/>
        <v>34</v>
      </c>
      <c r="AB55" s="209">
        <v>188</v>
      </c>
      <c r="AC55" s="67">
        <f t="shared" si="11"/>
        <v>32</v>
      </c>
      <c r="AD55" s="209">
        <v>179.5</v>
      </c>
      <c r="AE55" s="67">
        <f t="shared" si="12"/>
        <v>39</v>
      </c>
      <c r="AF55" s="209">
        <v>53.8</v>
      </c>
      <c r="AG55" s="67">
        <f t="shared" si="13"/>
        <v>39</v>
      </c>
      <c r="AH55" s="209">
        <v>52.4</v>
      </c>
      <c r="AI55" s="211" t="s">
        <v>110</v>
      </c>
    </row>
  </sheetData>
  <mergeCells count="24">
    <mergeCell ref="AI4:AI7"/>
    <mergeCell ref="AC4:AD4"/>
    <mergeCell ref="AG4:AH4"/>
    <mergeCell ref="AG6:AH6"/>
    <mergeCell ref="AE4:AF6"/>
    <mergeCell ref="AC6:AD6"/>
    <mergeCell ref="P6:Q6"/>
    <mergeCell ref="D4:E6"/>
    <mergeCell ref="Y4:Z6"/>
    <mergeCell ref="AA4:AB6"/>
    <mergeCell ref="W6:X6"/>
    <mergeCell ref="S6:T6"/>
    <mergeCell ref="U6:V6"/>
    <mergeCell ref="F4:G6"/>
    <mergeCell ref="H4:I6"/>
    <mergeCell ref="J4:Q4"/>
    <mergeCell ref="A4:A7"/>
    <mergeCell ref="B4:C6"/>
    <mergeCell ref="S5:X5"/>
    <mergeCell ref="S4:X4"/>
    <mergeCell ref="N6:O6"/>
    <mergeCell ref="J5:K6"/>
    <mergeCell ref="L5:M6"/>
    <mergeCell ref="N5:Q5"/>
  </mergeCells>
  <printOptions horizontalCentered="1" verticalCentered="1"/>
  <pageMargins left="0.5905511811023623" right="0.3937007874015748" top="0" bottom="0" header="0" footer="0"/>
  <pageSetup blackAndWhite="1" fitToWidth="2" fitToHeight="1" orientation="portrait" paperSize="9" scale="85" r:id="rId1"/>
  <colBreaks count="1" manualBreakCount="1">
    <brk id="20" max="5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A5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8.625" style="4" customWidth="1"/>
    <col min="2" max="2" width="5.125" style="4" customWidth="1"/>
    <col min="3" max="3" width="9.625" style="4" customWidth="1"/>
    <col min="4" max="4" width="5.125" style="4" customWidth="1"/>
    <col min="5" max="5" width="9.625" style="4" customWidth="1"/>
    <col min="6" max="6" width="5.125" style="4" customWidth="1"/>
    <col min="7" max="7" width="9.625" style="4" customWidth="1"/>
    <col min="8" max="8" width="5.125" style="3" customWidth="1"/>
    <col min="9" max="9" width="9.625" style="3" customWidth="1"/>
    <col min="10" max="10" width="5.125" style="4" customWidth="1"/>
    <col min="11" max="11" width="9.625" style="4" customWidth="1"/>
    <col min="12" max="12" width="5.125" style="4" customWidth="1"/>
    <col min="13" max="13" width="9.625" style="7" customWidth="1"/>
    <col min="14" max="14" width="3.625" style="10" customWidth="1"/>
    <col min="15" max="15" width="5.125" style="4" customWidth="1"/>
    <col min="16" max="16" width="9.625" style="4" customWidth="1"/>
    <col min="17" max="17" width="5.125" style="3" customWidth="1"/>
    <col min="18" max="18" width="9.625" style="3" customWidth="1"/>
    <col min="19" max="19" width="5.125" style="4" customWidth="1"/>
    <col min="20" max="20" width="9.625" style="4" customWidth="1"/>
    <col min="21" max="21" width="5.125" style="4" customWidth="1"/>
    <col min="22" max="22" width="9.625" style="4" customWidth="1"/>
    <col min="23" max="23" width="5.125" style="3" customWidth="1"/>
    <col min="24" max="24" width="9.625" style="3" customWidth="1"/>
    <col min="25" max="25" width="5.125" style="3" customWidth="1"/>
    <col min="26" max="26" width="9.625" style="3" customWidth="1"/>
    <col min="27" max="27" width="5.125" style="4" customWidth="1"/>
    <col min="28" max="16384" width="9.00390625" style="1" customWidth="1"/>
  </cols>
  <sheetData>
    <row r="1" spans="1:27" ht="18.75">
      <c r="A1" s="43" t="s">
        <v>55</v>
      </c>
      <c r="B1" s="35"/>
      <c r="C1" s="35"/>
      <c r="D1" s="41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35"/>
      <c r="Y1" s="35"/>
      <c r="Z1" s="1"/>
      <c r="AA1" s="2"/>
    </row>
    <row r="2" spans="1:27" ht="18.75">
      <c r="A2" s="43" t="s">
        <v>154</v>
      </c>
      <c r="B2" s="5"/>
      <c r="D2" s="41" t="s">
        <v>176</v>
      </c>
      <c r="E2" s="42"/>
      <c r="F2" s="42"/>
      <c r="G2" s="42"/>
      <c r="H2" s="42"/>
      <c r="I2" s="42"/>
      <c r="J2" s="42"/>
      <c r="K2" s="42"/>
      <c r="L2" s="42"/>
      <c r="M2" s="1"/>
      <c r="N2" s="42"/>
      <c r="O2" s="41" t="s">
        <v>173</v>
      </c>
      <c r="P2" s="42"/>
      <c r="Q2" s="42"/>
      <c r="R2" s="42"/>
      <c r="S2" s="42"/>
      <c r="T2" s="42"/>
      <c r="U2" s="42"/>
      <c r="V2" s="42"/>
      <c r="W2" s="42"/>
      <c r="Y2" s="11"/>
      <c r="Z2" s="1"/>
      <c r="AA2" s="2"/>
    </row>
    <row r="3" spans="1:27" ht="14.25" thickBot="1">
      <c r="A3" s="6"/>
      <c r="B3" s="6"/>
      <c r="C3" s="6"/>
      <c r="D3" s="6"/>
      <c r="E3" s="6"/>
      <c r="F3" s="6"/>
      <c r="G3" s="6"/>
      <c r="H3" s="9"/>
      <c r="I3" s="9"/>
      <c r="J3" s="6"/>
      <c r="K3" s="6"/>
      <c r="L3" s="10"/>
      <c r="M3" s="50"/>
      <c r="O3" s="6"/>
      <c r="P3" s="6"/>
      <c r="Q3" s="9"/>
      <c r="R3" s="9"/>
      <c r="S3" s="9"/>
      <c r="T3" s="9"/>
      <c r="U3" s="9"/>
      <c r="V3" s="9"/>
      <c r="W3" s="9"/>
      <c r="X3" s="9"/>
      <c r="Y3" s="34"/>
      <c r="Z3" s="1"/>
      <c r="AA3" s="34" t="s">
        <v>196</v>
      </c>
    </row>
    <row r="4" spans="1:27" ht="10.5" customHeight="1">
      <c r="A4" s="76" t="s">
        <v>1</v>
      </c>
      <c r="B4" s="80" t="s">
        <v>199</v>
      </c>
      <c r="C4" s="81"/>
      <c r="D4" s="79"/>
      <c r="E4" s="79"/>
      <c r="F4" s="80" t="s">
        <v>208</v>
      </c>
      <c r="G4" s="81"/>
      <c r="H4" s="80" t="s">
        <v>209</v>
      </c>
      <c r="I4" s="81"/>
      <c r="J4" s="80" t="s">
        <v>200</v>
      </c>
      <c r="K4" s="81"/>
      <c r="L4" s="80" t="s">
        <v>201</v>
      </c>
      <c r="M4" s="81"/>
      <c r="N4" s="23"/>
      <c r="O4" s="81" t="s">
        <v>202</v>
      </c>
      <c r="P4" s="85"/>
      <c r="Q4" s="80" t="s">
        <v>203</v>
      </c>
      <c r="R4" s="81"/>
      <c r="S4" s="86" t="s">
        <v>204</v>
      </c>
      <c r="T4" s="81"/>
      <c r="U4" s="80" t="s">
        <v>205</v>
      </c>
      <c r="V4" s="81"/>
      <c r="W4" s="80" t="s">
        <v>206</v>
      </c>
      <c r="X4" s="81"/>
      <c r="Y4" s="80" t="s">
        <v>207</v>
      </c>
      <c r="Z4" s="85"/>
      <c r="AA4" s="73" t="s">
        <v>1</v>
      </c>
    </row>
    <row r="5" spans="1:27" ht="33" customHeight="1">
      <c r="A5" s="68"/>
      <c r="B5" s="82"/>
      <c r="C5" s="70"/>
      <c r="D5" s="82" t="s">
        <v>155</v>
      </c>
      <c r="E5" s="84"/>
      <c r="F5" s="82"/>
      <c r="G5" s="83"/>
      <c r="H5" s="82"/>
      <c r="I5" s="83"/>
      <c r="J5" s="82"/>
      <c r="K5" s="83"/>
      <c r="L5" s="82"/>
      <c r="M5" s="83"/>
      <c r="N5" s="23"/>
      <c r="O5" s="83"/>
      <c r="P5" s="70"/>
      <c r="Q5" s="82"/>
      <c r="R5" s="83"/>
      <c r="S5" s="82"/>
      <c r="T5" s="83"/>
      <c r="U5" s="82"/>
      <c r="V5" s="83"/>
      <c r="W5" s="82"/>
      <c r="X5" s="83"/>
      <c r="Y5" s="82"/>
      <c r="Z5" s="70"/>
      <c r="AA5" s="74"/>
    </row>
    <row r="6" spans="1:27" ht="27.75" customHeight="1">
      <c r="A6" s="69"/>
      <c r="B6" s="13" t="s">
        <v>2</v>
      </c>
      <c r="C6" s="14" t="s">
        <v>116</v>
      </c>
      <c r="D6" s="13" t="s">
        <v>2</v>
      </c>
      <c r="E6" s="14" t="s">
        <v>116</v>
      </c>
      <c r="F6" s="13" t="s">
        <v>2</v>
      </c>
      <c r="G6" s="14" t="s">
        <v>116</v>
      </c>
      <c r="H6" s="13" t="s">
        <v>2</v>
      </c>
      <c r="I6" s="14" t="s">
        <v>116</v>
      </c>
      <c r="J6" s="13" t="s">
        <v>2</v>
      </c>
      <c r="K6" s="14" t="s">
        <v>116</v>
      </c>
      <c r="L6" s="13" t="s">
        <v>2</v>
      </c>
      <c r="M6" s="40" t="s">
        <v>116</v>
      </c>
      <c r="N6" s="23"/>
      <c r="O6" s="30" t="s">
        <v>2</v>
      </c>
      <c r="P6" s="14" t="s">
        <v>116</v>
      </c>
      <c r="Q6" s="13" t="s">
        <v>2</v>
      </c>
      <c r="R6" s="14" t="s">
        <v>116</v>
      </c>
      <c r="S6" s="13" t="s">
        <v>2</v>
      </c>
      <c r="T6" s="14" t="s">
        <v>116</v>
      </c>
      <c r="U6" s="13" t="s">
        <v>2</v>
      </c>
      <c r="V6" s="12" t="s">
        <v>116</v>
      </c>
      <c r="W6" s="13" t="s">
        <v>2</v>
      </c>
      <c r="X6" s="14" t="s">
        <v>116</v>
      </c>
      <c r="Y6" s="13" t="s">
        <v>2</v>
      </c>
      <c r="Z6" s="14" t="s">
        <v>116</v>
      </c>
      <c r="AA6" s="75"/>
    </row>
    <row r="7" spans="1:27" ht="12" customHeight="1">
      <c r="A7" s="15" t="s">
        <v>8</v>
      </c>
      <c r="B7" s="25"/>
      <c r="C7" s="27">
        <v>180.3</v>
      </c>
      <c r="D7" s="26"/>
      <c r="E7" s="27">
        <v>121.2</v>
      </c>
      <c r="F7" s="26"/>
      <c r="G7" s="27">
        <v>30.1</v>
      </c>
      <c r="H7" s="26"/>
      <c r="I7" s="27">
        <v>19.1</v>
      </c>
      <c r="J7" s="26"/>
      <c r="K7" s="27">
        <v>552.4</v>
      </c>
      <c r="L7" s="26"/>
      <c r="M7" s="27">
        <v>308.7</v>
      </c>
      <c r="N7" s="22"/>
      <c r="O7" s="26"/>
      <c r="P7" s="27">
        <v>57.5</v>
      </c>
      <c r="Q7" s="26"/>
      <c r="R7" s="27">
        <v>28.9</v>
      </c>
      <c r="S7" s="26"/>
      <c r="T7" s="27">
        <v>76.4</v>
      </c>
      <c r="U7" s="26"/>
      <c r="V7" s="27">
        <v>58</v>
      </c>
      <c r="W7" s="26"/>
      <c r="X7" s="27">
        <v>56.7</v>
      </c>
      <c r="Y7" s="26"/>
      <c r="Z7" s="31">
        <v>25.5</v>
      </c>
      <c r="AA7" s="17" t="s">
        <v>71</v>
      </c>
    </row>
    <row r="8" spans="1:27" s="56" customFormat="1" ht="24" customHeight="1">
      <c r="A8" s="51" t="s">
        <v>9</v>
      </c>
      <c r="B8" s="52">
        <f aca="true" t="shared" si="0" ref="B8:B54">IF(C8="","",RANK(C8,C$8:C$54))</f>
        <v>20</v>
      </c>
      <c r="C8" s="53">
        <v>165.9</v>
      </c>
      <c r="D8" s="54">
        <f aca="true" t="shared" si="1" ref="D8:D54">IF(E8="","",RANK(E8,E$8:E$54))</f>
        <v>14</v>
      </c>
      <c r="E8" s="53">
        <v>121.3</v>
      </c>
      <c r="F8" s="54">
        <f aca="true" t="shared" si="2" ref="F8:F54">IF(G8="","",RANK(G8,G$8:G$54))</f>
        <v>11</v>
      </c>
      <c r="G8" s="53">
        <v>43.2</v>
      </c>
      <c r="H8" s="54">
        <f aca="true" t="shared" si="3" ref="H8:H54">IF(I8="","",RANK(I8,I$8:I$54))</f>
        <v>10</v>
      </c>
      <c r="I8" s="53">
        <v>23.8</v>
      </c>
      <c r="J8" s="54">
        <f aca="true" t="shared" si="4" ref="J8:J54">IF(K8="","",RANK(K8,K$8:K$54))</f>
        <v>19</v>
      </c>
      <c r="K8" s="53">
        <v>660.1</v>
      </c>
      <c r="L8" s="54">
        <f aca="true" t="shared" si="5" ref="L8:L54">IF(M8="","",RANK(M8,M$8:M$54))</f>
        <v>17</v>
      </c>
      <c r="M8" s="53">
        <v>430.2</v>
      </c>
      <c r="N8" s="57"/>
      <c r="O8" s="54">
        <f aca="true" t="shared" si="6" ref="O8:O54">IF(P8="","",RANK(P8,P$8:P$54))</f>
        <v>18</v>
      </c>
      <c r="P8" s="53">
        <v>66.2</v>
      </c>
      <c r="Q8" s="54">
        <f aca="true" t="shared" si="7" ref="Q8:Q54">IF(R8="","",RANK(R8,R$8:R$54))</f>
        <v>14</v>
      </c>
      <c r="R8" s="53">
        <v>37.8</v>
      </c>
      <c r="S8" s="54">
        <f aca="true" t="shared" si="8" ref="S8:S54">IF(T8="","",RANK(T8,T$8:T$54))</f>
        <v>35</v>
      </c>
      <c r="T8" s="53">
        <v>45.8</v>
      </c>
      <c r="U8" s="54">
        <f aca="true" t="shared" si="9" ref="U8:U54">IF(V8="","",RANK(V8,V$8:V$54))</f>
        <v>38</v>
      </c>
      <c r="V8" s="53">
        <v>34.8</v>
      </c>
      <c r="W8" s="54">
        <f aca="true" t="shared" si="10" ref="W8:W54">IF(X8="","",RANK(X8,X$8:X$54))</f>
        <v>38</v>
      </c>
      <c r="X8" s="53">
        <v>33.8</v>
      </c>
      <c r="Y8" s="54">
        <f aca="true" t="shared" si="11" ref="Y8:Y54">IF(Z8="","",RANK(Z8,Z$8:Z$54))</f>
        <v>25</v>
      </c>
      <c r="Z8" s="58">
        <v>19.9</v>
      </c>
      <c r="AA8" s="55" t="s">
        <v>72</v>
      </c>
    </row>
    <row r="9" spans="1:27" ht="12" customHeight="1">
      <c r="A9" s="16" t="s">
        <v>10</v>
      </c>
      <c r="B9" s="44">
        <f t="shared" si="0"/>
        <v>46</v>
      </c>
      <c r="C9" s="28">
        <v>114.6</v>
      </c>
      <c r="D9" s="46">
        <f t="shared" si="1"/>
        <v>46</v>
      </c>
      <c r="E9" s="28">
        <v>91.5</v>
      </c>
      <c r="F9" s="46">
        <f t="shared" si="2"/>
        <v>21</v>
      </c>
      <c r="G9" s="28">
        <v>38.8</v>
      </c>
      <c r="H9" s="46">
        <f t="shared" si="3"/>
        <v>24</v>
      </c>
      <c r="I9" s="28">
        <v>20.6</v>
      </c>
      <c r="J9" s="46">
        <f t="shared" si="4"/>
        <v>27</v>
      </c>
      <c r="K9" s="28">
        <v>593.8</v>
      </c>
      <c r="L9" s="46">
        <f t="shared" si="5"/>
        <v>19</v>
      </c>
      <c r="M9" s="28">
        <v>411.4</v>
      </c>
      <c r="N9" s="21"/>
      <c r="O9" s="46">
        <f t="shared" si="6"/>
        <v>45</v>
      </c>
      <c r="P9" s="28">
        <v>34.2</v>
      </c>
      <c r="Q9" s="46">
        <f t="shared" si="7"/>
        <v>6</v>
      </c>
      <c r="R9" s="28">
        <v>43.8</v>
      </c>
      <c r="S9" s="46">
        <f t="shared" si="8"/>
        <v>37</v>
      </c>
      <c r="T9" s="28">
        <v>44.9</v>
      </c>
      <c r="U9" s="46">
        <f t="shared" si="9"/>
        <v>43</v>
      </c>
      <c r="V9" s="28">
        <v>28</v>
      </c>
      <c r="W9" s="46">
        <f t="shared" si="10"/>
        <v>43</v>
      </c>
      <c r="X9" s="28">
        <v>26.9</v>
      </c>
      <c r="Y9" s="46">
        <f t="shared" si="11"/>
        <v>8</v>
      </c>
      <c r="Z9" s="32">
        <v>30.1</v>
      </c>
      <c r="AA9" s="18" t="s">
        <v>73</v>
      </c>
    </row>
    <row r="10" spans="1:27" ht="12" customHeight="1">
      <c r="A10" s="16" t="s">
        <v>11</v>
      </c>
      <c r="B10" s="44">
        <f t="shared" si="0"/>
        <v>41</v>
      </c>
      <c r="C10" s="28">
        <v>136.4</v>
      </c>
      <c r="D10" s="46">
        <f t="shared" si="1"/>
        <v>36</v>
      </c>
      <c r="E10" s="28">
        <v>106.5</v>
      </c>
      <c r="F10" s="46">
        <f t="shared" si="2"/>
        <v>5</v>
      </c>
      <c r="G10" s="28">
        <v>48.4</v>
      </c>
      <c r="H10" s="46">
        <f t="shared" si="3"/>
        <v>5</v>
      </c>
      <c r="I10" s="28">
        <v>25.9</v>
      </c>
      <c r="J10" s="46">
        <f t="shared" si="4"/>
        <v>12</v>
      </c>
      <c r="K10" s="28">
        <v>718.2</v>
      </c>
      <c r="L10" s="46">
        <f t="shared" si="5"/>
        <v>32</v>
      </c>
      <c r="M10" s="28">
        <v>297.3</v>
      </c>
      <c r="N10" s="21"/>
      <c r="O10" s="46">
        <f t="shared" si="6"/>
        <v>34</v>
      </c>
      <c r="P10" s="28">
        <v>51.7</v>
      </c>
      <c r="Q10" s="46">
        <f t="shared" si="7"/>
        <v>10</v>
      </c>
      <c r="R10" s="28">
        <v>42.9</v>
      </c>
      <c r="S10" s="46">
        <f t="shared" si="8"/>
        <v>43</v>
      </c>
      <c r="T10" s="28">
        <v>39.8</v>
      </c>
      <c r="U10" s="46">
        <f t="shared" si="9"/>
        <v>46</v>
      </c>
      <c r="V10" s="28">
        <v>27</v>
      </c>
      <c r="W10" s="46">
        <f t="shared" si="10"/>
        <v>46</v>
      </c>
      <c r="X10" s="28">
        <v>26</v>
      </c>
      <c r="Y10" s="46">
        <f t="shared" si="11"/>
        <v>35</v>
      </c>
      <c r="Z10" s="32">
        <v>16.1</v>
      </c>
      <c r="AA10" s="18" t="s">
        <v>74</v>
      </c>
    </row>
    <row r="11" spans="1:27" ht="12" customHeight="1">
      <c r="A11" s="16" t="s">
        <v>12</v>
      </c>
      <c r="B11" s="44">
        <f t="shared" si="0"/>
        <v>22</v>
      </c>
      <c r="C11" s="28">
        <v>162.5</v>
      </c>
      <c r="D11" s="46">
        <f t="shared" si="1"/>
        <v>26</v>
      </c>
      <c r="E11" s="28">
        <v>112</v>
      </c>
      <c r="F11" s="46">
        <f t="shared" si="2"/>
        <v>30</v>
      </c>
      <c r="G11" s="28">
        <v>35.4</v>
      </c>
      <c r="H11" s="46">
        <f t="shared" si="3"/>
        <v>13</v>
      </c>
      <c r="I11" s="28">
        <v>22.8</v>
      </c>
      <c r="J11" s="46">
        <f t="shared" si="4"/>
        <v>37</v>
      </c>
      <c r="K11" s="28">
        <v>504.5</v>
      </c>
      <c r="L11" s="46">
        <f t="shared" si="5"/>
        <v>30</v>
      </c>
      <c r="M11" s="28">
        <v>315.1</v>
      </c>
      <c r="N11" s="21"/>
      <c r="O11" s="46">
        <f t="shared" si="6"/>
        <v>41</v>
      </c>
      <c r="P11" s="28">
        <v>42.3</v>
      </c>
      <c r="Q11" s="46">
        <f t="shared" si="7"/>
        <v>17</v>
      </c>
      <c r="R11" s="28">
        <v>35.9</v>
      </c>
      <c r="S11" s="46">
        <f t="shared" si="8"/>
        <v>33</v>
      </c>
      <c r="T11" s="28">
        <v>49.4</v>
      </c>
      <c r="U11" s="46">
        <f t="shared" si="9"/>
        <v>34</v>
      </c>
      <c r="V11" s="28">
        <v>37.7</v>
      </c>
      <c r="W11" s="46">
        <f t="shared" si="10"/>
        <v>32</v>
      </c>
      <c r="X11" s="28">
        <v>36.8</v>
      </c>
      <c r="Y11" s="46">
        <f t="shared" si="11"/>
        <v>18</v>
      </c>
      <c r="Z11" s="32">
        <v>23.1</v>
      </c>
      <c r="AA11" s="18" t="s">
        <v>75</v>
      </c>
    </row>
    <row r="12" spans="1:27" ht="12" customHeight="1">
      <c r="A12" s="16" t="s">
        <v>13</v>
      </c>
      <c r="B12" s="44">
        <f t="shared" si="0"/>
        <v>35</v>
      </c>
      <c r="C12" s="28">
        <v>143.2</v>
      </c>
      <c r="D12" s="46">
        <f t="shared" si="1"/>
        <v>24</v>
      </c>
      <c r="E12" s="28">
        <v>113.4</v>
      </c>
      <c r="F12" s="46">
        <f t="shared" si="2"/>
        <v>8</v>
      </c>
      <c r="G12" s="28">
        <v>44.4</v>
      </c>
      <c r="H12" s="46">
        <f t="shared" si="3"/>
        <v>7</v>
      </c>
      <c r="I12" s="28">
        <v>24.7</v>
      </c>
      <c r="J12" s="46">
        <f t="shared" si="4"/>
        <v>20</v>
      </c>
      <c r="K12" s="28">
        <v>638.7</v>
      </c>
      <c r="L12" s="46">
        <f t="shared" si="5"/>
        <v>27</v>
      </c>
      <c r="M12" s="28">
        <v>325.3</v>
      </c>
      <c r="N12" s="21"/>
      <c r="O12" s="46">
        <f t="shared" si="6"/>
        <v>24</v>
      </c>
      <c r="P12" s="28">
        <v>61.9</v>
      </c>
      <c r="Q12" s="46">
        <f t="shared" si="7"/>
        <v>12</v>
      </c>
      <c r="R12" s="28">
        <v>40.4</v>
      </c>
      <c r="S12" s="46">
        <f t="shared" si="8"/>
        <v>46</v>
      </c>
      <c r="T12" s="28">
        <v>35.1</v>
      </c>
      <c r="U12" s="46">
        <f t="shared" si="9"/>
        <v>47</v>
      </c>
      <c r="V12" s="28">
        <v>25.9</v>
      </c>
      <c r="W12" s="46">
        <f t="shared" si="10"/>
        <v>47</v>
      </c>
      <c r="X12" s="28">
        <v>25.6</v>
      </c>
      <c r="Y12" s="46">
        <f t="shared" si="11"/>
        <v>32</v>
      </c>
      <c r="Z12" s="32">
        <v>16.7</v>
      </c>
      <c r="AA12" s="18" t="s">
        <v>76</v>
      </c>
    </row>
    <row r="13" spans="1:27" s="56" customFormat="1" ht="24" customHeight="1">
      <c r="A13" s="51" t="s">
        <v>14</v>
      </c>
      <c r="B13" s="52">
        <f t="shared" si="0"/>
        <v>43</v>
      </c>
      <c r="C13" s="53">
        <v>130.4</v>
      </c>
      <c r="D13" s="54">
        <f t="shared" si="1"/>
        <v>44</v>
      </c>
      <c r="E13" s="53">
        <v>95.3</v>
      </c>
      <c r="F13" s="54">
        <f t="shared" si="2"/>
        <v>15</v>
      </c>
      <c r="G13" s="53">
        <v>41.9</v>
      </c>
      <c r="H13" s="54">
        <f t="shared" si="3"/>
        <v>18</v>
      </c>
      <c r="I13" s="53">
        <v>21.2</v>
      </c>
      <c r="J13" s="54">
        <f t="shared" si="4"/>
        <v>21</v>
      </c>
      <c r="K13" s="53">
        <v>634.2</v>
      </c>
      <c r="L13" s="54">
        <f t="shared" si="5"/>
        <v>33</v>
      </c>
      <c r="M13" s="53">
        <v>282.3</v>
      </c>
      <c r="N13" s="57"/>
      <c r="O13" s="54">
        <f t="shared" si="6"/>
        <v>26</v>
      </c>
      <c r="P13" s="53">
        <v>58.5</v>
      </c>
      <c r="Q13" s="54">
        <f t="shared" si="7"/>
        <v>6</v>
      </c>
      <c r="R13" s="53">
        <v>43.8</v>
      </c>
      <c r="S13" s="54">
        <f t="shared" si="8"/>
        <v>40</v>
      </c>
      <c r="T13" s="53">
        <v>42.8</v>
      </c>
      <c r="U13" s="54">
        <f t="shared" si="9"/>
        <v>42</v>
      </c>
      <c r="V13" s="53">
        <v>29.1</v>
      </c>
      <c r="W13" s="54">
        <f t="shared" si="10"/>
        <v>41</v>
      </c>
      <c r="X13" s="53">
        <v>28.1</v>
      </c>
      <c r="Y13" s="54">
        <f t="shared" si="11"/>
        <v>13</v>
      </c>
      <c r="Z13" s="58">
        <v>28.2</v>
      </c>
      <c r="AA13" s="55" t="s">
        <v>77</v>
      </c>
    </row>
    <row r="14" spans="1:27" ht="12" customHeight="1">
      <c r="A14" s="16" t="s">
        <v>15</v>
      </c>
      <c r="B14" s="44">
        <f t="shared" si="0"/>
        <v>37</v>
      </c>
      <c r="C14" s="28">
        <v>140.7</v>
      </c>
      <c r="D14" s="46">
        <f t="shared" si="1"/>
        <v>34</v>
      </c>
      <c r="E14" s="28">
        <v>107.9</v>
      </c>
      <c r="F14" s="46">
        <f t="shared" si="2"/>
        <v>32</v>
      </c>
      <c r="G14" s="28">
        <v>35.3</v>
      </c>
      <c r="H14" s="46">
        <f t="shared" si="3"/>
        <v>25</v>
      </c>
      <c r="I14" s="28">
        <v>20.2</v>
      </c>
      <c r="J14" s="46">
        <f t="shared" si="4"/>
        <v>33</v>
      </c>
      <c r="K14" s="28">
        <v>532.2</v>
      </c>
      <c r="L14" s="46">
        <f t="shared" si="5"/>
        <v>16</v>
      </c>
      <c r="M14" s="28">
        <v>432.3</v>
      </c>
      <c r="N14" s="21"/>
      <c r="O14" s="46">
        <f t="shared" si="6"/>
        <v>40</v>
      </c>
      <c r="P14" s="28">
        <v>43.8</v>
      </c>
      <c r="Q14" s="46">
        <f t="shared" si="7"/>
        <v>11</v>
      </c>
      <c r="R14" s="28">
        <v>40.8</v>
      </c>
      <c r="S14" s="46">
        <f t="shared" si="8"/>
        <v>25</v>
      </c>
      <c r="T14" s="28">
        <v>55.5</v>
      </c>
      <c r="U14" s="46">
        <f t="shared" si="9"/>
        <v>35</v>
      </c>
      <c r="V14" s="28">
        <v>36.3</v>
      </c>
      <c r="W14" s="46">
        <f t="shared" si="10"/>
        <v>36</v>
      </c>
      <c r="X14" s="28">
        <v>35.5</v>
      </c>
      <c r="Y14" s="46">
        <f t="shared" si="11"/>
        <v>21</v>
      </c>
      <c r="Z14" s="32">
        <v>21.6</v>
      </c>
      <c r="AA14" s="18" t="s">
        <v>78</v>
      </c>
    </row>
    <row r="15" spans="1:27" ht="12" customHeight="1">
      <c r="A15" s="16" t="s">
        <v>16</v>
      </c>
      <c r="B15" s="44">
        <f t="shared" si="0"/>
        <v>16</v>
      </c>
      <c r="C15" s="28">
        <v>172</v>
      </c>
      <c r="D15" s="46">
        <f t="shared" si="1"/>
        <v>31</v>
      </c>
      <c r="E15" s="28">
        <v>108.1</v>
      </c>
      <c r="F15" s="46">
        <f t="shared" si="2"/>
        <v>39</v>
      </c>
      <c r="G15" s="28">
        <v>28</v>
      </c>
      <c r="H15" s="46">
        <f t="shared" si="3"/>
        <v>45</v>
      </c>
      <c r="I15" s="28">
        <v>13.1</v>
      </c>
      <c r="J15" s="46">
        <f t="shared" si="4"/>
        <v>45</v>
      </c>
      <c r="K15" s="28">
        <v>394.8</v>
      </c>
      <c r="L15" s="46">
        <f t="shared" si="5"/>
        <v>34</v>
      </c>
      <c r="M15" s="28">
        <v>276.8</v>
      </c>
      <c r="N15" s="21"/>
      <c r="O15" s="46">
        <f t="shared" si="6"/>
        <v>44</v>
      </c>
      <c r="P15" s="28">
        <v>39.7</v>
      </c>
      <c r="Q15" s="46">
        <f t="shared" si="7"/>
        <v>41</v>
      </c>
      <c r="R15" s="28">
        <v>21.3</v>
      </c>
      <c r="S15" s="46">
        <f t="shared" si="8"/>
        <v>41</v>
      </c>
      <c r="T15" s="28">
        <v>41.9</v>
      </c>
      <c r="U15" s="46">
        <f t="shared" si="9"/>
        <v>41</v>
      </c>
      <c r="V15" s="28">
        <v>29.4</v>
      </c>
      <c r="W15" s="46">
        <f t="shared" si="10"/>
        <v>42</v>
      </c>
      <c r="X15" s="28">
        <v>28</v>
      </c>
      <c r="Y15" s="46">
        <f t="shared" si="11"/>
        <v>20</v>
      </c>
      <c r="Z15" s="32">
        <v>22.4</v>
      </c>
      <c r="AA15" s="18" t="s">
        <v>79</v>
      </c>
    </row>
    <row r="16" spans="1:27" ht="12" customHeight="1">
      <c r="A16" s="16" t="s">
        <v>17</v>
      </c>
      <c r="B16" s="44">
        <f t="shared" si="0"/>
        <v>32</v>
      </c>
      <c r="C16" s="28">
        <v>146.2</v>
      </c>
      <c r="D16" s="46">
        <f t="shared" si="1"/>
        <v>39</v>
      </c>
      <c r="E16" s="28">
        <v>103</v>
      </c>
      <c r="F16" s="46">
        <f t="shared" si="2"/>
        <v>35</v>
      </c>
      <c r="G16" s="28">
        <v>30</v>
      </c>
      <c r="H16" s="46">
        <f t="shared" si="3"/>
        <v>42</v>
      </c>
      <c r="I16" s="28">
        <v>15.2</v>
      </c>
      <c r="J16" s="46">
        <f t="shared" si="4"/>
        <v>42</v>
      </c>
      <c r="K16" s="28">
        <v>473.1</v>
      </c>
      <c r="L16" s="46">
        <f t="shared" si="5"/>
        <v>26</v>
      </c>
      <c r="M16" s="28">
        <v>345.8</v>
      </c>
      <c r="N16" s="21"/>
      <c r="O16" s="46">
        <f t="shared" si="6"/>
        <v>30</v>
      </c>
      <c r="P16" s="28">
        <v>55.9</v>
      </c>
      <c r="Q16" s="46">
        <f t="shared" si="7"/>
        <v>35</v>
      </c>
      <c r="R16" s="28">
        <v>28.5</v>
      </c>
      <c r="S16" s="46">
        <f t="shared" si="8"/>
        <v>12</v>
      </c>
      <c r="T16" s="28">
        <v>70.8</v>
      </c>
      <c r="U16" s="46">
        <f t="shared" si="9"/>
        <v>27</v>
      </c>
      <c r="V16" s="28">
        <v>39.9</v>
      </c>
      <c r="W16" s="46">
        <f t="shared" si="10"/>
        <v>28</v>
      </c>
      <c r="X16" s="28">
        <v>39.1</v>
      </c>
      <c r="Y16" s="46">
        <f t="shared" si="11"/>
        <v>14</v>
      </c>
      <c r="Z16" s="32">
        <v>27.4</v>
      </c>
      <c r="AA16" s="18" t="s">
        <v>80</v>
      </c>
    </row>
    <row r="17" spans="1:27" ht="12" customHeight="1">
      <c r="A17" s="16" t="s">
        <v>18</v>
      </c>
      <c r="B17" s="44">
        <f t="shared" si="0"/>
        <v>39</v>
      </c>
      <c r="C17" s="28">
        <v>138.8</v>
      </c>
      <c r="D17" s="46">
        <f t="shared" si="1"/>
        <v>40</v>
      </c>
      <c r="E17" s="28">
        <v>101.4</v>
      </c>
      <c r="F17" s="46">
        <f t="shared" si="2"/>
        <v>27</v>
      </c>
      <c r="G17" s="28">
        <v>36.3</v>
      </c>
      <c r="H17" s="46">
        <f t="shared" si="3"/>
        <v>41</v>
      </c>
      <c r="I17" s="28">
        <v>15.4</v>
      </c>
      <c r="J17" s="46">
        <f t="shared" si="4"/>
        <v>39</v>
      </c>
      <c r="K17" s="28">
        <v>498.1</v>
      </c>
      <c r="L17" s="46">
        <f t="shared" si="5"/>
        <v>21</v>
      </c>
      <c r="M17" s="28">
        <v>393.5</v>
      </c>
      <c r="N17" s="21"/>
      <c r="O17" s="46">
        <f t="shared" si="6"/>
        <v>23</v>
      </c>
      <c r="P17" s="28">
        <v>62.3</v>
      </c>
      <c r="Q17" s="46">
        <f t="shared" si="7"/>
        <v>33</v>
      </c>
      <c r="R17" s="28">
        <v>28.6</v>
      </c>
      <c r="S17" s="46">
        <f t="shared" si="8"/>
        <v>24</v>
      </c>
      <c r="T17" s="28">
        <v>57.5</v>
      </c>
      <c r="U17" s="46">
        <f t="shared" si="9"/>
        <v>37</v>
      </c>
      <c r="V17" s="28">
        <v>35.8</v>
      </c>
      <c r="W17" s="46">
        <f t="shared" si="10"/>
        <v>37</v>
      </c>
      <c r="X17" s="28">
        <v>34.9</v>
      </c>
      <c r="Y17" s="46">
        <f t="shared" si="11"/>
        <v>6</v>
      </c>
      <c r="Z17" s="32">
        <v>32.2</v>
      </c>
      <c r="AA17" s="18" t="s">
        <v>81</v>
      </c>
    </row>
    <row r="18" spans="1:27" s="56" customFormat="1" ht="24" customHeight="1">
      <c r="A18" s="51" t="s">
        <v>19</v>
      </c>
      <c r="B18" s="52">
        <f t="shared" si="0"/>
        <v>34</v>
      </c>
      <c r="C18" s="53">
        <v>144.1</v>
      </c>
      <c r="D18" s="54">
        <f t="shared" si="1"/>
        <v>43</v>
      </c>
      <c r="E18" s="53">
        <v>96.8</v>
      </c>
      <c r="F18" s="54">
        <f t="shared" si="2"/>
        <v>46</v>
      </c>
      <c r="G18" s="53">
        <v>19.1</v>
      </c>
      <c r="H18" s="54">
        <f t="shared" si="3"/>
        <v>46</v>
      </c>
      <c r="I18" s="53">
        <v>12.8</v>
      </c>
      <c r="J18" s="54">
        <f t="shared" si="4"/>
        <v>47</v>
      </c>
      <c r="K18" s="53">
        <v>336.5</v>
      </c>
      <c r="L18" s="54">
        <f t="shared" si="5"/>
        <v>42</v>
      </c>
      <c r="M18" s="53">
        <v>219.1</v>
      </c>
      <c r="N18" s="57"/>
      <c r="O18" s="54">
        <f t="shared" si="6"/>
        <v>42</v>
      </c>
      <c r="P18" s="53">
        <v>42.1</v>
      </c>
      <c r="Q18" s="54">
        <f t="shared" si="7"/>
        <v>46</v>
      </c>
      <c r="R18" s="53">
        <v>16.5</v>
      </c>
      <c r="S18" s="54">
        <f t="shared" si="8"/>
        <v>27</v>
      </c>
      <c r="T18" s="53">
        <v>54.6</v>
      </c>
      <c r="U18" s="54">
        <f t="shared" si="9"/>
        <v>26</v>
      </c>
      <c r="V18" s="53">
        <v>41.7</v>
      </c>
      <c r="W18" s="54">
        <f t="shared" si="10"/>
        <v>25</v>
      </c>
      <c r="X18" s="53">
        <v>40.4</v>
      </c>
      <c r="Y18" s="54">
        <f t="shared" si="11"/>
        <v>16</v>
      </c>
      <c r="Z18" s="58">
        <v>25.4</v>
      </c>
      <c r="AA18" s="55" t="s">
        <v>82</v>
      </c>
    </row>
    <row r="19" spans="1:27" ht="12" customHeight="1">
      <c r="A19" s="16" t="s">
        <v>20</v>
      </c>
      <c r="B19" s="44">
        <f t="shared" si="0"/>
        <v>21</v>
      </c>
      <c r="C19" s="28">
        <v>165.5</v>
      </c>
      <c r="D19" s="46">
        <f t="shared" si="1"/>
        <v>23</v>
      </c>
      <c r="E19" s="28">
        <v>113.9</v>
      </c>
      <c r="F19" s="46">
        <f t="shared" si="2"/>
        <v>40</v>
      </c>
      <c r="G19" s="28">
        <v>24.7</v>
      </c>
      <c r="H19" s="46">
        <f t="shared" si="3"/>
        <v>43</v>
      </c>
      <c r="I19" s="28">
        <v>14.4</v>
      </c>
      <c r="J19" s="46">
        <f t="shared" si="4"/>
        <v>46</v>
      </c>
      <c r="K19" s="28">
        <v>378.2</v>
      </c>
      <c r="L19" s="46">
        <f t="shared" si="5"/>
        <v>44</v>
      </c>
      <c r="M19" s="28">
        <v>202</v>
      </c>
      <c r="N19" s="21"/>
      <c r="O19" s="46">
        <f t="shared" si="6"/>
        <v>42</v>
      </c>
      <c r="P19" s="28">
        <v>42.1</v>
      </c>
      <c r="Q19" s="46">
        <f t="shared" si="7"/>
        <v>45</v>
      </c>
      <c r="R19" s="28">
        <v>17</v>
      </c>
      <c r="S19" s="46">
        <f t="shared" si="8"/>
        <v>29</v>
      </c>
      <c r="T19" s="28">
        <v>54.1</v>
      </c>
      <c r="U19" s="46">
        <f t="shared" si="9"/>
        <v>19</v>
      </c>
      <c r="V19" s="28">
        <v>46.6</v>
      </c>
      <c r="W19" s="46">
        <f t="shared" si="10"/>
        <v>18</v>
      </c>
      <c r="X19" s="28">
        <v>45.4</v>
      </c>
      <c r="Y19" s="46">
        <f t="shared" si="11"/>
        <v>19</v>
      </c>
      <c r="Z19" s="32">
        <v>22.5</v>
      </c>
      <c r="AA19" s="18" t="s">
        <v>83</v>
      </c>
    </row>
    <row r="20" spans="1:27" ht="12" customHeight="1">
      <c r="A20" s="16" t="s">
        <v>21</v>
      </c>
      <c r="B20" s="44">
        <f t="shared" si="0"/>
        <v>2</v>
      </c>
      <c r="C20" s="28">
        <v>292.7</v>
      </c>
      <c r="D20" s="46">
        <f t="shared" si="1"/>
        <v>1</v>
      </c>
      <c r="E20" s="28">
        <v>157.2</v>
      </c>
      <c r="F20" s="46">
        <f t="shared" si="2"/>
        <v>44</v>
      </c>
      <c r="G20" s="28">
        <v>21</v>
      </c>
      <c r="H20" s="46">
        <f t="shared" si="3"/>
        <v>20</v>
      </c>
      <c r="I20" s="28">
        <v>21.1</v>
      </c>
      <c r="J20" s="46">
        <f t="shared" si="4"/>
        <v>35</v>
      </c>
      <c r="K20" s="28">
        <v>519.6</v>
      </c>
      <c r="L20" s="46">
        <f t="shared" si="5"/>
        <v>46</v>
      </c>
      <c r="M20" s="28">
        <v>156</v>
      </c>
      <c r="N20" s="21"/>
      <c r="O20" s="46">
        <f t="shared" si="6"/>
        <v>22</v>
      </c>
      <c r="P20" s="28">
        <v>63.7</v>
      </c>
      <c r="Q20" s="46">
        <f t="shared" si="7"/>
        <v>38</v>
      </c>
      <c r="R20" s="28">
        <v>26.4</v>
      </c>
      <c r="S20" s="46">
        <f t="shared" si="8"/>
        <v>1</v>
      </c>
      <c r="T20" s="28">
        <v>213.3</v>
      </c>
      <c r="U20" s="46">
        <f t="shared" si="9"/>
        <v>1</v>
      </c>
      <c r="V20" s="28">
        <v>153.3</v>
      </c>
      <c r="W20" s="46">
        <f t="shared" si="10"/>
        <v>1</v>
      </c>
      <c r="X20" s="28">
        <v>152.6</v>
      </c>
      <c r="Y20" s="46">
        <f t="shared" si="11"/>
        <v>2</v>
      </c>
      <c r="Z20" s="32">
        <v>55.2</v>
      </c>
      <c r="AA20" s="18" t="s">
        <v>84</v>
      </c>
    </row>
    <row r="21" spans="1:27" ht="12" customHeight="1">
      <c r="A21" s="16" t="s">
        <v>22</v>
      </c>
      <c r="B21" s="44">
        <f t="shared" si="0"/>
        <v>15</v>
      </c>
      <c r="C21" s="28">
        <v>173.1</v>
      </c>
      <c r="D21" s="46">
        <f t="shared" si="1"/>
        <v>11</v>
      </c>
      <c r="E21" s="28">
        <v>127.2</v>
      </c>
      <c r="F21" s="46">
        <f t="shared" si="2"/>
        <v>47</v>
      </c>
      <c r="G21" s="28">
        <v>17.6</v>
      </c>
      <c r="H21" s="46">
        <f t="shared" si="3"/>
        <v>40</v>
      </c>
      <c r="I21" s="28">
        <v>15.5</v>
      </c>
      <c r="J21" s="46">
        <f t="shared" si="4"/>
        <v>44</v>
      </c>
      <c r="K21" s="28">
        <v>433.9</v>
      </c>
      <c r="L21" s="46">
        <f t="shared" si="5"/>
        <v>47</v>
      </c>
      <c r="M21" s="28">
        <v>139.1</v>
      </c>
      <c r="N21" s="21"/>
      <c r="O21" s="46">
        <f t="shared" si="6"/>
        <v>27</v>
      </c>
      <c r="P21" s="28">
        <v>57.8</v>
      </c>
      <c r="Q21" s="46">
        <f t="shared" si="7"/>
        <v>44</v>
      </c>
      <c r="R21" s="28">
        <v>18.5</v>
      </c>
      <c r="S21" s="46">
        <f t="shared" si="8"/>
        <v>7</v>
      </c>
      <c r="T21" s="28">
        <v>84.6</v>
      </c>
      <c r="U21" s="46">
        <f t="shared" si="9"/>
        <v>7</v>
      </c>
      <c r="V21" s="28">
        <v>54.8</v>
      </c>
      <c r="W21" s="46">
        <f t="shared" si="10"/>
        <v>8</v>
      </c>
      <c r="X21" s="28">
        <v>52.9</v>
      </c>
      <c r="Y21" s="46">
        <f t="shared" si="11"/>
        <v>33</v>
      </c>
      <c r="Z21" s="32">
        <v>16.4</v>
      </c>
      <c r="AA21" s="18" t="s">
        <v>85</v>
      </c>
    </row>
    <row r="22" spans="1:27" ht="12" customHeight="1">
      <c r="A22" s="16" t="s">
        <v>23</v>
      </c>
      <c r="B22" s="44">
        <f t="shared" si="0"/>
        <v>40</v>
      </c>
      <c r="C22" s="28">
        <v>138.7</v>
      </c>
      <c r="D22" s="46">
        <f t="shared" si="1"/>
        <v>31</v>
      </c>
      <c r="E22" s="28">
        <v>108.1</v>
      </c>
      <c r="F22" s="46">
        <f t="shared" si="2"/>
        <v>22</v>
      </c>
      <c r="G22" s="28">
        <v>38.1</v>
      </c>
      <c r="H22" s="46">
        <f t="shared" si="3"/>
        <v>1</v>
      </c>
      <c r="I22" s="28">
        <v>30.4</v>
      </c>
      <c r="J22" s="46">
        <f t="shared" si="4"/>
        <v>30</v>
      </c>
      <c r="K22" s="28">
        <v>569.8</v>
      </c>
      <c r="L22" s="46">
        <f t="shared" si="5"/>
        <v>29</v>
      </c>
      <c r="M22" s="28">
        <v>317.4</v>
      </c>
      <c r="N22" s="21"/>
      <c r="O22" s="46">
        <f t="shared" si="6"/>
        <v>14</v>
      </c>
      <c r="P22" s="28">
        <v>74.2</v>
      </c>
      <c r="Q22" s="46">
        <f t="shared" si="7"/>
        <v>8</v>
      </c>
      <c r="R22" s="28">
        <v>43.5</v>
      </c>
      <c r="S22" s="46">
        <f t="shared" si="8"/>
        <v>31</v>
      </c>
      <c r="T22" s="28">
        <v>51.7</v>
      </c>
      <c r="U22" s="46">
        <f t="shared" si="9"/>
        <v>33</v>
      </c>
      <c r="V22" s="28">
        <v>37.9</v>
      </c>
      <c r="W22" s="46">
        <f t="shared" si="10"/>
        <v>29</v>
      </c>
      <c r="X22" s="28">
        <v>37.8</v>
      </c>
      <c r="Y22" s="46">
        <f t="shared" si="11"/>
        <v>31</v>
      </c>
      <c r="Z22" s="32">
        <v>16.9</v>
      </c>
      <c r="AA22" s="18" t="s">
        <v>86</v>
      </c>
    </row>
    <row r="23" spans="1:27" s="56" customFormat="1" ht="24" customHeight="1">
      <c r="A23" s="51" t="s">
        <v>24</v>
      </c>
      <c r="B23" s="52">
        <f t="shared" si="0"/>
        <v>3</v>
      </c>
      <c r="C23" s="53">
        <v>256.9</v>
      </c>
      <c r="D23" s="54">
        <f t="shared" si="1"/>
        <v>21</v>
      </c>
      <c r="E23" s="53">
        <v>114.8</v>
      </c>
      <c r="F23" s="54">
        <f t="shared" si="2"/>
        <v>14</v>
      </c>
      <c r="G23" s="53">
        <v>42.1</v>
      </c>
      <c r="H23" s="54">
        <f t="shared" si="3"/>
        <v>2</v>
      </c>
      <c r="I23" s="53">
        <v>28.9</v>
      </c>
      <c r="J23" s="54">
        <f t="shared" si="4"/>
        <v>15</v>
      </c>
      <c r="K23" s="53">
        <v>711.8</v>
      </c>
      <c r="L23" s="54">
        <f t="shared" si="5"/>
        <v>25</v>
      </c>
      <c r="M23" s="53">
        <v>348.3</v>
      </c>
      <c r="N23" s="57"/>
      <c r="O23" s="54">
        <f t="shared" si="6"/>
        <v>18</v>
      </c>
      <c r="P23" s="53">
        <v>66.2</v>
      </c>
      <c r="Q23" s="54">
        <f t="shared" si="7"/>
        <v>5</v>
      </c>
      <c r="R23" s="53">
        <v>46.3</v>
      </c>
      <c r="S23" s="54">
        <f t="shared" si="8"/>
        <v>45</v>
      </c>
      <c r="T23" s="53">
        <v>37.3</v>
      </c>
      <c r="U23" s="54">
        <f t="shared" si="9"/>
        <v>40</v>
      </c>
      <c r="V23" s="53">
        <v>33.1</v>
      </c>
      <c r="W23" s="54">
        <f t="shared" si="10"/>
        <v>39</v>
      </c>
      <c r="X23" s="53">
        <v>33</v>
      </c>
      <c r="Y23" s="54">
        <f t="shared" si="11"/>
        <v>1</v>
      </c>
      <c r="Z23" s="58">
        <v>58.6</v>
      </c>
      <c r="AA23" s="55" t="s">
        <v>87</v>
      </c>
    </row>
    <row r="24" spans="1:27" ht="12" customHeight="1">
      <c r="A24" s="16" t="s">
        <v>25</v>
      </c>
      <c r="B24" s="44">
        <f t="shared" si="0"/>
        <v>7</v>
      </c>
      <c r="C24" s="28">
        <v>192.7</v>
      </c>
      <c r="D24" s="46">
        <f t="shared" si="1"/>
        <v>18</v>
      </c>
      <c r="E24" s="28">
        <v>119.4</v>
      </c>
      <c r="F24" s="46">
        <f t="shared" si="2"/>
        <v>24</v>
      </c>
      <c r="G24" s="28">
        <v>37.4</v>
      </c>
      <c r="H24" s="46">
        <f t="shared" si="3"/>
        <v>13</v>
      </c>
      <c r="I24" s="28">
        <v>22.8</v>
      </c>
      <c r="J24" s="46">
        <f t="shared" si="4"/>
        <v>4</v>
      </c>
      <c r="K24" s="28">
        <v>760.3</v>
      </c>
      <c r="L24" s="46">
        <f t="shared" si="5"/>
        <v>23</v>
      </c>
      <c r="M24" s="28">
        <v>358.6</v>
      </c>
      <c r="N24" s="21"/>
      <c r="O24" s="46">
        <f t="shared" si="6"/>
        <v>33</v>
      </c>
      <c r="P24" s="28">
        <v>54.2</v>
      </c>
      <c r="Q24" s="46">
        <f t="shared" si="7"/>
        <v>25</v>
      </c>
      <c r="R24" s="28">
        <v>32.8</v>
      </c>
      <c r="S24" s="46">
        <f t="shared" si="8"/>
        <v>38</v>
      </c>
      <c r="T24" s="28">
        <v>44.5</v>
      </c>
      <c r="U24" s="46">
        <f t="shared" si="9"/>
        <v>39</v>
      </c>
      <c r="V24" s="28">
        <v>33.6</v>
      </c>
      <c r="W24" s="46">
        <f t="shared" si="10"/>
        <v>40</v>
      </c>
      <c r="X24" s="28">
        <v>32.6</v>
      </c>
      <c r="Y24" s="46">
        <f t="shared" si="11"/>
        <v>5</v>
      </c>
      <c r="Z24" s="32">
        <v>33.8</v>
      </c>
      <c r="AA24" s="18" t="s">
        <v>88</v>
      </c>
    </row>
    <row r="25" spans="1:27" ht="12" customHeight="1">
      <c r="A25" s="16" t="s">
        <v>26</v>
      </c>
      <c r="B25" s="44">
        <f t="shared" si="0"/>
        <v>28</v>
      </c>
      <c r="C25" s="28">
        <v>155.2</v>
      </c>
      <c r="D25" s="46">
        <f t="shared" si="1"/>
        <v>45</v>
      </c>
      <c r="E25" s="28">
        <v>94.6</v>
      </c>
      <c r="F25" s="46">
        <f t="shared" si="2"/>
        <v>12</v>
      </c>
      <c r="G25" s="28">
        <v>43</v>
      </c>
      <c r="H25" s="46">
        <f t="shared" si="3"/>
        <v>16</v>
      </c>
      <c r="I25" s="28">
        <v>21.4</v>
      </c>
      <c r="J25" s="46">
        <f t="shared" si="4"/>
        <v>25</v>
      </c>
      <c r="K25" s="28">
        <v>621</v>
      </c>
      <c r="L25" s="46">
        <f t="shared" si="5"/>
        <v>15</v>
      </c>
      <c r="M25" s="28">
        <v>435.4</v>
      </c>
      <c r="N25" s="21"/>
      <c r="O25" s="46">
        <f t="shared" si="6"/>
        <v>36</v>
      </c>
      <c r="P25" s="28">
        <v>50.2</v>
      </c>
      <c r="Q25" s="46">
        <f t="shared" si="7"/>
        <v>19</v>
      </c>
      <c r="R25" s="28">
        <v>35.1</v>
      </c>
      <c r="S25" s="46">
        <f t="shared" si="8"/>
        <v>44</v>
      </c>
      <c r="T25" s="28">
        <v>39.5</v>
      </c>
      <c r="U25" s="46">
        <f t="shared" si="9"/>
        <v>44</v>
      </c>
      <c r="V25" s="28">
        <v>27.4</v>
      </c>
      <c r="W25" s="46">
        <f t="shared" si="10"/>
        <v>45</v>
      </c>
      <c r="X25" s="28">
        <v>26.3</v>
      </c>
      <c r="Y25" s="46">
        <f t="shared" si="11"/>
        <v>11</v>
      </c>
      <c r="Z25" s="32">
        <v>28.7</v>
      </c>
      <c r="AA25" s="18" t="s">
        <v>78</v>
      </c>
    </row>
    <row r="26" spans="1:27" ht="12" customHeight="1">
      <c r="A26" s="16" t="s">
        <v>27</v>
      </c>
      <c r="B26" s="44">
        <f t="shared" si="0"/>
        <v>31</v>
      </c>
      <c r="C26" s="28">
        <v>146.3</v>
      </c>
      <c r="D26" s="46">
        <f t="shared" si="1"/>
        <v>27</v>
      </c>
      <c r="E26" s="28">
        <v>111.9</v>
      </c>
      <c r="F26" s="46">
        <f t="shared" si="2"/>
        <v>2</v>
      </c>
      <c r="G26" s="28">
        <v>59.3</v>
      </c>
      <c r="H26" s="46">
        <f t="shared" si="3"/>
        <v>27</v>
      </c>
      <c r="I26" s="28">
        <v>19.3</v>
      </c>
      <c r="J26" s="46">
        <f t="shared" si="4"/>
        <v>29</v>
      </c>
      <c r="K26" s="28">
        <v>575.4</v>
      </c>
      <c r="L26" s="46">
        <f t="shared" si="5"/>
        <v>35</v>
      </c>
      <c r="M26" s="28">
        <v>270.9</v>
      </c>
      <c r="N26" s="21"/>
      <c r="O26" s="46">
        <f t="shared" si="6"/>
        <v>15</v>
      </c>
      <c r="P26" s="28">
        <v>70.3</v>
      </c>
      <c r="Q26" s="46">
        <f t="shared" si="7"/>
        <v>28</v>
      </c>
      <c r="R26" s="28">
        <v>31.3</v>
      </c>
      <c r="S26" s="46">
        <f t="shared" si="8"/>
        <v>11</v>
      </c>
      <c r="T26" s="28">
        <v>73.3</v>
      </c>
      <c r="U26" s="46">
        <f t="shared" si="9"/>
        <v>13</v>
      </c>
      <c r="V26" s="28">
        <v>51.4</v>
      </c>
      <c r="W26" s="46">
        <f t="shared" si="10"/>
        <v>11</v>
      </c>
      <c r="X26" s="28">
        <v>51</v>
      </c>
      <c r="Y26" s="46">
        <f t="shared" si="11"/>
        <v>7</v>
      </c>
      <c r="Z26" s="32">
        <v>30.7</v>
      </c>
      <c r="AA26" s="18" t="s">
        <v>77</v>
      </c>
    </row>
    <row r="27" spans="1:27" ht="12" customHeight="1">
      <c r="A27" s="16" t="s">
        <v>28</v>
      </c>
      <c r="B27" s="44">
        <f t="shared" si="0"/>
        <v>23</v>
      </c>
      <c r="C27" s="28">
        <v>160.8</v>
      </c>
      <c r="D27" s="46">
        <f t="shared" si="1"/>
        <v>15</v>
      </c>
      <c r="E27" s="28">
        <v>121.2</v>
      </c>
      <c r="F27" s="46">
        <f t="shared" si="2"/>
        <v>3</v>
      </c>
      <c r="G27" s="28">
        <v>52.3</v>
      </c>
      <c r="H27" s="46">
        <f t="shared" si="3"/>
        <v>6</v>
      </c>
      <c r="I27" s="28">
        <v>25.1</v>
      </c>
      <c r="J27" s="46">
        <f t="shared" si="4"/>
        <v>23</v>
      </c>
      <c r="K27" s="28">
        <v>622.6</v>
      </c>
      <c r="L27" s="46">
        <f t="shared" si="5"/>
        <v>39</v>
      </c>
      <c r="M27" s="28">
        <v>246.6</v>
      </c>
      <c r="N27" s="21"/>
      <c r="O27" s="46">
        <f t="shared" si="6"/>
        <v>12</v>
      </c>
      <c r="P27" s="28">
        <v>75.3</v>
      </c>
      <c r="Q27" s="46">
        <f t="shared" si="7"/>
        <v>30</v>
      </c>
      <c r="R27" s="28">
        <v>30.5</v>
      </c>
      <c r="S27" s="46">
        <f t="shared" si="8"/>
        <v>16</v>
      </c>
      <c r="T27" s="28">
        <v>64.8</v>
      </c>
      <c r="U27" s="46">
        <f t="shared" si="9"/>
        <v>22</v>
      </c>
      <c r="V27" s="28">
        <v>43.1</v>
      </c>
      <c r="W27" s="46">
        <f t="shared" si="10"/>
        <v>23</v>
      </c>
      <c r="X27" s="28">
        <v>41.7</v>
      </c>
      <c r="Y27" s="46">
        <f t="shared" si="11"/>
        <v>17</v>
      </c>
      <c r="Z27" s="32">
        <v>25</v>
      </c>
      <c r="AA27" s="18" t="s">
        <v>89</v>
      </c>
    </row>
    <row r="28" spans="1:27" s="56" customFormat="1" ht="24" customHeight="1">
      <c r="A28" s="51" t="s">
        <v>29</v>
      </c>
      <c r="B28" s="52">
        <f t="shared" si="0"/>
        <v>29</v>
      </c>
      <c r="C28" s="53">
        <v>154.1</v>
      </c>
      <c r="D28" s="54">
        <f t="shared" si="1"/>
        <v>28</v>
      </c>
      <c r="E28" s="53">
        <v>109.7</v>
      </c>
      <c r="F28" s="54">
        <f t="shared" si="2"/>
        <v>30</v>
      </c>
      <c r="G28" s="53">
        <v>35.4</v>
      </c>
      <c r="H28" s="54">
        <f t="shared" si="3"/>
        <v>16</v>
      </c>
      <c r="I28" s="53">
        <v>21.4</v>
      </c>
      <c r="J28" s="54">
        <f t="shared" si="4"/>
        <v>41</v>
      </c>
      <c r="K28" s="53">
        <v>474.1</v>
      </c>
      <c r="L28" s="54">
        <f t="shared" si="5"/>
        <v>31</v>
      </c>
      <c r="M28" s="53">
        <v>309.3</v>
      </c>
      <c r="N28" s="57"/>
      <c r="O28" s="54">
        <f t="shared" si="6"/>
        <v>15</v>
      </c>
      <c r="P28" s="53">
        <v>70.3</v>
      </c>
      <c r="Q28" s="54">
        <f t="shared" si="7"/>
        <v>22</v>
      </c>
      <c r="R28" s="53">
        <v>33.1</v>
      </c>
      <c r="S28" s="54">
        <f t="shared" si="8"/>
        <v>9</v>
      </c>
      <c r="T28" s="53">
        <v>78.1</v>
      </c>
      <c r="U28" s="54">
        <f t="shared" si="9"/>
        <v>14</v>
      </c>
      <c r="V28" s="53">
        <v>50.5</v>
      </c>
      <c r="W28" s="54">
        <f t="shared" si="10"/>
        <v>15</v>
      </c>
      <c r="X28" s="53">
        <v>48.9</v>
      </c>
      <c r="Y28" s="54">
        <f t="shared" si="11"/>
        <v>15</v>
      </c>
      <c r="Z28" s="58">
        <v>27.3</v>
      </c>
      <c r="AA28" s="55" t="s">
        <v>90</v>
      </c>
    </row>
    <row r="29" spans="1:27" ht="12" customHeight="1">
      <c r="A29" s="16" t="s">
        <v>30</v>
      </c>
      <c r="B29" s="44">
        <f t="shared" si="0"/>
        <v>12</v>
      </c>
      <c r="C29" s="28">
        <v>179.5</v>
      </c>
      <c r="D29" s="46">
        <f t="shared" si="1"/>
        <v>22</v>
      </c>
      <c r="E29" s="28">
        <v>114.7</v>
      </c>
      <c r="F29" s="46">
        <f t="shared" si="2"/>
        <v>37</v>
      </c>
      <c r="G29" s="28">
        <v>29.5</v>
      </c>
      <c r="H29" s="46">
        <f t="shared" si="3"/>
        <v>36</v>
      </c>
      <c r="I29" s="28">
        <v>16.9</v>
      </c>
      <c r="J29" s="46">
        <f t="shared" si="4"/>
        <v>36</v>
      </c>
      <c r="K29" s="28">
        <v>516.7</v>
      </c>
      <c r="L29" s="46">
        <f t="shared" si="5"/>
        <v>43</v>
      </c>
      <c r="M29" s="28">
        <v>207.6</v>
      </c>
      <c r="N29" s="21"/>
      <c r="O29" s="46">
        <f t="shared" si="6"/>
        <v>34</v>
      </c>
      <c r="P29" s="28">
        <v>51.7</v>
      </c>
      <c r="Q29" s="46">
        <f t="shared" si="7"/>
        <v>32</v>
      </c>
      <c r="R29" s="28">
        <v>29.6</v>
      </c>
      <c r="S29" s="46">
        <f t="shared" si="8"/>
        <v>10</v>
      </c>
      <c r="T29" s="28">
        <v>76.2</v>
      </c>
      <c r="U29" s="46">
        <f t="shared" si="9"/>
        <v>25</v>
      </c>
      <c r="V29" s="28">
        <v>41.8</v>
      </c>
      <c r="W29" s="46">
        <f t="shared" si="10"/>
        <v>25</v>
      </c>
      <c r="X29" s="28">
        <v>40.4</v>
      </c>
      <c r="Y29" s="46">
        <f t="shared" si="11"/>
        <v>34</v>
      </c>
      <c r="Z29" s="32">
        <v>16.2</v>
      </c>
      <c r="AA29" s="18" t="s">
        <v>91</v>
      </c>
    </row>
    <row r="30" spans="1:27" ht="12" customHeight="1">
      <c r="A30" s="16" t="s">
        <v>31</v>
      </c>
      <c r="B30" s="44">
        <f t="shared" si="0"/>
        <v>30</v>
      </c>
      <c r="C30" s="28">
        <v>150.5</v>
      </c>
      <c r="D30" s="46">
        <f t="shared" si="1"/>
        <v>35</v>
      </c>
      <c r="E30" s="28">
        <v>107.7</v>
      </c>
      <c r="F30" s="46">
        <f t="shared" si="2"/>
        <v>43</v>
      </c>
      <c r="G30" s="28">
        <v>22.3</v>
      </c>
      <c r="H30" s="46">
        <f t="shared" si="3"/>
        <v>31</v>
      </c>
      <c r="I30" s="28">
        <v>18.2</v>
      </c>
      <c r="J30" s="46">
        <f t="shared" si="4"/>
        <v>43</v>
      </c>
      <c r="K30" s="28">
        <v>466.2</v>
      </c>
      <c r="L30" s="46">
        <f t="shared" si="5"/>
        <v>40</v>
      </c>
      <c r="M30" s="28">
        <v>244.7</v>
      </c>
      <c r="N30" s="21"/>
      <c r="O30" s="46">
        <f t="shared" si="6"/>
        <v>46</v>
      </c>
      <c r="P30" s="28">
        <v>32.6</v>
      </c>
      <c r="Q30" s="46">
        <f t="shared" si="7"/>
        <v>39</v>
      </c>
      <c r="R30" s="28">
        <v>24.7</v>
      </c>
      <c r="S30" s="46">
        <f t="shared" si="8"/>
        <v>28</v>
      </c>
      <c r="T30" s="28">
        <v>54.2</v>
      </c>
      <c r="U30" s="46">
        <f t="shared" si="9"/>
        <v>21</v>
      </c>
      <c r="V30" s="28">
        <v>43.8</v>
      </c>
      <c r="W30" s="46">
        <f t="shared" si="10"/>
        <v>21</v>
      </c>
      <c r="X30" s="28">
        <v>42.4</v>
      </c>
      <c r="Y30" s="46">
        <f t="shared" si="11"/>
        <v>23</v>
      </c>
      <c r="Z30" s="32">
        <v>20.7</v>
      </c>
      <c r="AA30" s="18" t="s">
        <v>92</v>
      </c>
    </row>
    <row r="31" spans="1:27" ht="12" customHeight="1">
      <c r="A31" s="16" t="s">
        <v>32</v>
      </c>
      <c r="B31" s="44">
        <f t="shared" si="0"/>
        <v>38</v>
      </c>
      <c r="C31" s="28">
        <v>140.2</v>
      </c>
      <c r="D31" s="46">
        <f t="shared" si="1"/>
        <v>29</v>
      </c>
      <c r="E31" s="28">
        <v>109.1</v>
      </c>
      <c r="F31" s="46">
        <f t="shared" si="2"/>
        <v>38</v>
      </c>
      <c r="G31" s="28">
        <v>28.4</v>
      </c>
      <c r="H31" s="46">
        <f t="shared" si="3"/>
        <v>47</v>
      </c>
      <c r="I31" s="28">
        <v>12.2</v>
      </c>
      <c r="J31" s="46">
        <f t="shared" si="4"/>
        <v>38</v>
      </c>
      <c r="K31" s="28">
        <v>501.9</v>
      </c>
      <c r="L31" s="46">
        <f t="shared" si="5"/>
        <v>28</v>
      </c>
      <c r="M31" s="28">
        <v>321.9</v>
      </c>
      <c r="N31" s="21"/>
      <c r="O31" s="46">
        <f t="shared" si="6"/>
        <v>28</v>
      </c>
      <c r="P31" s="28">
        <v>57.1</v>
      </c>
      <c r="Q31" s="46">
        <f t="shared" si="7"/>
        <v>33</v>
      </c>
      <c r="R31" s="28">
        <v>28.6</v>
      </c>
      <c r="S31" s="46">
        <f t="shared" si="8"/>
        <v>34</v>
      </c>
      <c r="T31" s="28">
        <v>47.1</v>
      </c>
      <c r="U31" s="46">
        <f t="shared" si="9"/>
        <v>30</v>
      </c>
      <c r="V31" s="28">
        <v>38.9</v>
      </c>
      <c r="W31" s="46">
        <f t="shared" si="10"/>
        <v>30</v>
      </c>
      <c r="X31" s="28">
        <v>37.3</v>
      </c>
      <c r="Y31" s="46">
        <f t="shared" si="11"/>
        <v>41</v>
      </c>
      <c r="Z31" s="32">
        <v>13.1</v>
      </c>
      <c r="AA31" s="18" t="s">
        <v>93</v>
      </c>
    </row>
    <row r="32" spans="1:27" ht="12" customHeight="1">
      <c r="A32" s="16" t="s">
        <v>33</v>
      </c>
      <c r="B32" s="44">
        <f t="shared" si="0"/>
        <v>25</v>
      </c>
      <c r="C32" s="28">
        <v>158.4</v>
      </c>
      <c r="D32" s="46">
        <f t="shared" si="1"/>
        <v>30</v>
      </c>
      <c r="E32" s="28">
        <v>108.7</v>
      </c>
      <c r="F32" s="46">
        <f t="shared" si="2"/>
        <v>18</v>
      </c>
      <c r="G32" s="28">
        <v>39.5</v>
      </c>
      <c r="H32" s="46">
        <f t="shared" si="3"/>
        <v>18</v>
      </c>
      <c r="I32" s="28">
        <v>21.2</v>
      </c>
      <c r="J32" s="46">
        <f t="shared" si="4"/>
        <v>26</v>
      </c>
      <c r="K32" s="28">
        <v>602.9</v>
      </c>
      <c r="L32" s="46">
        <f t="shared" si="5"/>
        <v>45</v>
      </c>
      <c r="M32" s="28">
        <v>167</v>
      </c>
      <c r="N32" s="21"/>
      <c r="O32" s="46">
        <f t="shared" si="6"/>
        <v>28</v>
      </c>
      <c r="P32" s="28">
        <v>57.1</v>
      </c>
      <c r="Q32" s="46">
        <f t="shared" si="7"/>
        <v>36</v>
      </c>
      <c r="R32" s="28">
        <v>27.2</v>
      </c>
      <c r="S32" s="46">
        <f t="shared" si="8"/>
        <v>35</v>
      </c>
      <c r="T32" s="28">
        <v>45.8</v>
      </c>
      <c r="U32" s="46">
        <f t="shared" si="9"/>
        <v>28</v>
      </c>
      <c r="V32" s="28">
        <v>39</v>
      </c>
      <c r="W32" s="46">
        <f t="shared" si="10"/>
        <v>27</v>
      </c>
      <c r="X32" s="28">
        <v>39.2</v>
      </c>
      <c r="Y32" s="46">
        <f t="shared" si="11"/>
        <v>30</v>
      </c>
      <c r="Z32" s="32">
        <v>17.8</v>
      </c>
      <c r="AA32" s="18" t="s">
        <v>94</v>
      </c>
    </row>
    <row r="33" spans="1:27" s="56" customFormat="1" ht="24" customHeight="1">
      <c r="A33" s="51" t="s">
        <v>34</v>
      </c>
      <c r="B33" s="52">
        <f t="shared" si="0"/>
        <v>9</v>
      </c>
      <c r="C33" s="53">
        <v>188.8</v>
      </c>
      <c r="D33" s="54">
        <f t="shared" si="1"/>
        <v>37</v>
      </c>
      <c r="E33" s="53">
        <v>106.4</v>
      </c>
      <c r="F33" s="54">
        <f t="shared" si="2"/>
        <v>34</v>
      </c>
      <c r="G33" s="53">
        <v>31.7</v>
      </c>
      <c r="H33" s="54">
        <f t="shared" si="3"/>
        <v>22</v>
      </c>
      <c r="I33" s="53">
        <v>20.9</v>
      </c>
      <c r="J33" s="54">
        <f t="shared" si="4"/>
        <v>22</v>
      </c>
      <c r="K33" s="53">
        <v>632.9</v>
      </c>
      <c r="L33" s="54">
        <f t="shared" si="5"/>
        <v>36</v>
      </c>
      <c r="M33" s="53">
        <v>264.4</v>
      </c>
      <c r="N33" s="57"/>
      <c r="O33" s="54">
        <f t="shared" si="6"/>
        <v>47</v>
      </c>
      <c r="P33" s="53">
        <v>12.3</v>
      </c>
      <c r="Q33" s="54">
        <f t="shared" si="7"/>
        <v>47</v>
      </c>
      <c r="R33" s="53">
        <v>12.7</v>
      </c>
      <c r="S33" s="54">
        <f t="shared" si="8"/>
        <v>3</v>
      </c>
      <c r="T33" s="53">
        <v>103.2</v>
      </c>
      <c r="U33" s="54">
        <f t="shared" si="9"/>
        <v>3</v>
      </c>
      <c r="V33" s="53">
        <v>88.8</v>
      </c>
      <c r="W33" s="54">
        <f t="shared" si="10"/>
        <v>3</v>
      </c>
      <c r="X33" s="53">
        <v>85.8</v>
      </c>
      <c r="Y33" s="54">
        <f t="shared" si="11"/>
        <v>9</v>
      </c>
      <c r="Z33" s="58">
        <v>29.8</v>
      </c>
      <c r="AA33" s="55" t="s">
        <v>95</v>
      </c>
    </row>
    <row r="34" spans="1:27" ht="12" customHeight="1">
      <c r="A34" s="16" t="s">
        <v>35</v>
      </c>
      <c r="B34" s="44">
        <f t="shared" si="0"/>
        <v>4</v>
      </c>
      <c r="C34" s="28">
        <v>227</v>
      </c>
      <c r="D34" s="46">
        <f t="shared" si="1"/>
        <v>10</v>
      </c>
      <c r="E34" s="28">
        <v>130.3</v>
      </c>
      <c r="F34" s="46">
        <f t="shared" si="2"/>
        <v>45</v>
      </c>
      <c r="G34" s="28">
        <v>19.3</v>
      </c>
      <c r="H34" s="46">
        <f t="shared" si="3"/>
        <v>26</v>
      </c>
      <c r="I34" s="28">
        <v>19.4</v>
      </c>
      <c r="J34" s="46">
        <f t="shared" si="4"/>
        <v>34</v>
      </c>
      <c r="K34" s="28">
        <v>522.7</v>
      </c>
      <c r="L34" s="46">
        <f t="shared" si="5"/>
        <v>38</v>
      </c>
      <c r="M34" s="28">
        <v>261.9</v>
      </c>
      <c r="N34" s="21"/>
      <c r="O34" s="46">
        <f t="shared" si="6"/>
        <v>38</v>
      </c>
      <c r="P34" s="28">
        <v>48.7</v>
      </c>
      <c r="Q34" s="46">
        <f t="shared" si="7"/>
        <v>37</v>
      </c>
      <c r="R34" s="28">
        <v>26.9</v>
      </c>
      <c r="S34" s="46">
        <f t="shared" si="8"/>
        <v>4</v>
      </c>
      <c r="T34" s="28">
        <v>94.4</v>
      </c>
      <c r="U34" s="46">
        <f t="shared" si="9"/>
        <v>2</v>
      </c>
      <c r="V34" s="28">
        <v>93.7</v>
      </c>
      <c r="W34" s="46">
        <f t="shared" si="10"/>
        <v>2</v>
      </c>
      <c r="X34" s="28">
        <v>90.4</v>
      </c>
      <c r="Y34" s="46">
        <f t="shared" si="11"/>
        <v>4</v>
      </c>
      <c r="Z34" s="32">
        <v>40.4</v>
      </c>
      <c r="AA34" s="18" t="s">
        <v>96</v>
      </c>
    </row>
    <row r="35" spans="1:27" ht="12" customHeight="1">
      <c r="A35" s="16" t="s">
        <v>36</v>
      </c>
      <c r="B35" s="44">
        <f t="shared" si="0"/>
        <v>5</v>
      </c>
      <c r="C35" s="28">
        <v>203.5</v>
      </c>
      <c r="D35" s="46">
        <f t="shared" si="1"/>
        <v>3</v>
      </c>
      <c r="E35" s="28">
        <v>144.5</v>
      </c>
      <c r="F35" s="46">
        <f t="shared" si="2"/>
        <v>41</v>
      </c>
      <c r="G35" s="28">
        <v>23.6</v>
      </c>
      <c r="H35" s="46">
        <f t="shared" si="3"/>
        <v>30</v>
      </c>
      <c r="I35" s="28">
        <v>18.4</v>
      </c>
      <c r="J35" s="46">
        <f t="shared" si="4"/>
        <v>31</v>
      </c>
      <c r="K35" s="28">
        <v>541.1</v>
      </c>
      <c r="L35" s="46">
        <f t="shared" si="5"/>
        <v>37</v>
      </c>
      <c r="M35" s="28">
        <v>263.6</v>
      </c>
      <c r="N35" s="21"/>
      <c r="O35" s="46">
        <f t="shared" si="6"/>
        <v>37</v>
      </c>
      <c r="P35" s="28">
        <v>49.6</v>
      </c>
      <c r="Q35" s="46">
        <f t="shared" si="7"/>
        <v>40</v>
      </c>
      <c r="R35" s="28">
        <v>23.8</v>
      </c>
      <c r="S35" s="46">
        <f t="shared" si="8"/>
        <v>39</v>
      </c>
      <c r="T35" s="28">
        <v>43.6</v>
      </c>
      <c r="U35" s="46">
        <f t="shared" si="9"/>
        <v>23</v>
      </c>
      <c r="V35" s="28">
        <v>42.9</v>
      </c>
      <c r="W35" s="46">
        <f t="shared" si="10"/>
        <v>22</v>
      </c>
      <c r="X35" s="28">
        <v>42</v>
      </c>
      <c r="Y35" s="46">
        <f t="shared" si="11"/>
        <v>28</v>
      </c>
      <c r="Z35" s="32">
        <v>18.2</v>
      </c>
      <c r="AA35" s="18" t="s">
        <v>97</v>
      </c>
    </row>
    <row r="36" spans="1:27" ht="12" customHeight="1">
      <c r="A36" s="16" t="s">
        <v>37</v>
      </c>
      <c r="B36" s="44">
        <f t="shared" si="0"/>
        <v>14</v>
      </c>
      <c r="C36" s="28">
        <v>174.8</v>
      </c>
      <c r="D36" s="46">
        <f t="shared" si="1"/>
        <v>20</v>
      </c>
      <c r="E36" s="28">
        <v>117.1</v>
      </c>
      <c r="F36" s="46">
        <f t="shared" si="2"/>
        <v>36</v>
      </c>
      <c r="G36" s="28">
        <v>29.8</v>
      </c>
      <c r="H36" s="46">
        <f t="shared" si="3"/>
        <v>29</v>
      </c>
      <c r="I36" s="28">
        <v>18.5</v>
      </c>
      <c r="J36" s="46">
        <f t="shared" si="4"/>
        <v>40</v>
      </c>
      <c r="K36" s="28">
        <v>491.5</v>
      </c>
      <c r="L36" s="46">
        <f t="shared" si="5"/>
        <v>41</v>
      </c>
      <c r="M36" s="28">
        <v>226.7</v>
      </c>
      <c r="N36" s="21"/>
      <c r="O36" s="46">
        <f t="shared" si="6"/>
        <v>32</v>
      </c>
      <c r="P36" s="28">
        <v>55</v>
      </c>
      <c r="Q36" s="46">
        <f t="shared" si="7"/>
        <v>42</v>
      </c>
      <c r="R36" s="28">
        <v>20.7</v>
      </c>
      <c r="S36" s="46">
        <f t="shared" si="8"/>
        <v>42</v>
      </c>
      <c r="T36" s="28">
        <v>40.1</v>
      </c>
      <c r="U36" s="46">
        <f t="shared" si="9"/>
        <v>16</v>
      </c>
      <c r="V36" s="28">
        <v>48.4</v>
      </c>
      <c r="W36" s="46">
        <f t="shared" si="10"/>
        <v>11</v>
      </c>
      <c r="X36" s="28">
        <v>51</v>
      </c>
      <c r="Y36" s="46">
        <f t="shared" si="11"/>
        <v>26</v>
      </c>
      <c r="Z36" s="32">
        <v>18.7</v>
      </c>
      <c r="AA36" s="18" t="s">
        <v>98</v>
      </c>
    </row>
    <row r="37" spans="1:27" ht="12" customHeight="1">
      <c r="A37" s="16" t="s">
        <v>38</v>
      </c>
      <c r="B37" s="44">
        <f t="shared" si="0"/>
        <v>8</v>
      </c>
      <c r="C37" s="28">
        <v>189.3</v>
      </c>
      <c r="D37" s="46">
        <f t="shared" si="1"/>
        <v>19</v>
      </c>
      <c r="E37" s="28">
        <v>119.2</v>
      </c>
      <c r="F37" s="46">
        <f t="shared" si="2"/>
        <v>27</v>
      </c>
      <c r="G37" s="28">
        <v>36.3</v>
      </c>
      <c r="H37" s="46">
        <f t="shared" si="3"/>
        <v>23</v>
      </c>
      <c r="I37" s="28">
        <v>20.8</v>
      </c>
      <c r="J37" s="46">
        <f t="shared" si="4"/>
        <v>32</v>
      </c>
      <c r="K37" s="28">
        <v>537.8</v>
      </c>
      <c r="L37" s="46">
        <f t="shared" si="5"/>
        <v>13</v>
      </c>
      <c r="M37" s="28">
        <v>457.4</v>
      </c>
      <c r="N37" s="21"/>
      <c r="O37" s="46">
        <f t="shared" si="6"/>
        <v>31</v>
      </c>
      <c r="P37" s="28">
        <v>55.6</v>
      </c>
      <c r="Q37" s="46">
        <f t="shared" si="7"/>
        <v>27</v>
      </c>
      <c r="R37" s="28">
        <v>31.9</v>
      </c>
      <c r="S37" s="46">
        <f t="shared" si="8"/>
        <v>6</v>
      </c>
      <c r="T37" s="28">
        <v>86.2</v>
      </c>
      <c r="U37" s="46">
        <f t="shared" si="9"/>
        <v>4</v>
      </c>
      <c r="V37" s="28">
        <v>73.4</v>
      </c>
      <c r="W37" s="46">
        <f t="shared" si="10"/>
        <v>4</v>
      </c>
      <c r="X37" s="28">
        <v>72.6</v>
      </c>
      <c r="Y37" s="46">
        <f t="shared" si="11"/>
        <v>3</v>
      </c>
      <c r="Z37" s="32">
        <v>40.8</v>
      </c>
      <c r="AA37" s="18" t="s">
        <v>99</v>
      </c>
    </row>
    <row r="38" spans="1:27" s="56" customFormat="1" ht="24" customHeight="1">
      <c r="A38" s="51" t="s">
        <v>39</v>
      </c>
      <c r="B38" s="52">
        <f t="shared" si="0"/>
        <v>27</v>
      </c>
      <c r="C38" s="53">
        <v>155.9</v>
      </c>
      <c r="D38" s="54">
        <f t="shared" si="1"/>
        <v>17</v>
      </c>
      <c r="E38" s="53">
        <v>119.8</v>
      </c>
      <c r="F38" s="54">
        <f t="shared" si="2"/>
        <v>7</v>
      </c>
      <c r="G38" s="53">
        <v>45.9</v>
      </c>
      <c r="H38" s="54">
        <f t="shared" si="3"/>
        <v>4</v>
      </c>
      <c r="I38" s="53">
        <v>26.8</v>
      </c>
      <c r="J38" s="54">
        <f t="shared" si="4"/>
        <v>14</v>
      </c>
      <c r="K38" s="53">
        <v>713.7</v>
      </c>
      <c r="L38" s="54">
        <f t="shared" si="5"/>
        <v>20</v>
      </c>
      <c r="M38" s="53">
        <v>406.4</v>
      </c>
      <c r="N38" s="57"/>
      <c r="O38" s="54">
        <f t="shared" si="6"/>
        <v>1</v>
      </c>
      <c r="P38" s="53">
        <v>106.9</v>
      </c>
      <c r="Q38" s="54">
        <f t="shared" si="7"/>
        <v>3</v>
      </c>
      <c r="R38" s="53">
        <v>49.2</v>
      </c>
      <c r="S38" s="54">
        <f t="shared" si="8"/>
        <v>26</v>
      </c>
      <c r="T38" s="53">
        <v>54.9</v>
      </c>
      <c r="U38" s="54">
        <f t="shared" si="9"/>
        <v>32</v>
      </c>
      <c r="V38" s="53">
        <v>38.4</v>
      </c>
      <c r="W38" s="54">
        <f t="shared" si="10"/>
        <v>34</v>
      </c>
      <c r="X38" s="53">
        <v>36.6</v>
      </c>
      <c r="Y38" s="54">
        <f t="shared" si="11"/>
        <v>47</v>
      </c>
      <c r="Z38" s="58">
        <v>5.7</v>
      </c>
      <c r="AA38" s="55" t="s">
        <v>100</v>
      </c>
    </row>
    <row r="39" spans="1:27" ht="12" customHeight="1">
      <c r="A39" s="16" t="s">
        <v>40</v>
      </c>
      <c r="B39" s="44">
        <f t="shared" si="0"/>
        <v>45</v>
      </c>
      <c r="C39" s="28">
        <v>125.4</v>
      </c>
      <c r="D39" s="46">
        <f t="shared" si="1"/>
        <v>42</v>
      </c>
      <c r="E39" s="28">
        <v>98.8</v>
      </c>
      <c r="F39" s="46">
        <f t="shared" si="2"/>
        <v>1</v>
      </c>
      <c r="G39" s="28">
        <v>59.4</v>
      </c>
      <c r="H39" s="46">
        <f t="shared" si="3"/>
        <v>3</v>
      </c>
      <c r="I39" s="28">
        <v>27.2</v>
      </c>
      <c r="J39" s="46">
        <f t="shared" si="4"/>
        <v>7</v>
      </c>
      <c r="K39" s="28">
        <v>742.3</v>
      </c>
      <c r="L39" s="46">
        <f t="shared" si="5"/>
        <v>12</v>
      </c>
      <c r="M39" s="28">
        <v>472.4</v>
      </c>
      <c r="N39" s="21"/>
      <c r="O39" s="46">
        <f t="shared" si="6"/>
        <v>8</v>
      </c>
      <c r="P39" s="28">
        <v>84.7</v>
      </c>
      <c r="Q39" s="46">
        <f t="shared" si="7"/>
        <v>9</v>
      </c>
      <c r="R39" s="28">
        <v>43.3</v>
      </c>
      <c r="S39" s="46">
        <f t="shared" si="8"/>
        <v>8</v>
      </c>
      <c r="T39" s="28">
        <v>80.6</v>
      </c>
      <c r="U39" s="46">
        <f t="shared" si="9"/>
        <v>6</v>
      </c>
      <c r="V39" s="28">
        <v>55</v>
      </c>
      <c r="W39" s="46">
        <f t="shared" si="10"/>
        <v>9</v>
      </c>
      <c r="X39" s="28">
        <v>51.9</v>
      </c>
      <c r="Y39" s="46">
        <f t="shared" si="11"/>
        <v>44</v>
      </c>
      <c r="Z39" s="32">
        <v>10.6</v>
      </c>
      <c r="AA39" s="18" t="s">
        <v>101</v>
      </c>
    </row>
    <row r="40" spans="1:27" ht="12" customHeight="1">
      <c r="A40" s="16" t="s">
        <v>41</v>
      </c>
      <c r="B40" s="44">
        <f t="shared" si="0"/>
        <v>17</v>
      </c>
      <c r="C40" s="28">
        <v>169.9</v>
      </c>
      <c r="D40" s="46">
        <f t="shared" si="1"/>
        <v>13</v>
      </c>
      <c r="E40" s="28">
        <v>122.6</v>
      </c>
      <c r="F40" s="46">
        <f t="shared" si="2"/>
        <v>16</v>
      </c>
      <c r="G40" s="28">
        <v>41.1</v>
      </c>
      <c r="H40" s="46">
        <f t="shared" si="3"/>
        <v>33</v>
      </c>
      <c r="I40" s="28">
        <v>17.6</v>
      </c>
      <c r="J40" s="46">
        <f t="shared" si="4"/>
        <v>3</v>
      </c>
      <c r="K40" s="28">
        <v>767.5</v>
      </c>
      <c r="L40" s="46">
        <f t="shared" si="5"/>
        <v>24</v>
      </c>
      <c r="M40" s="28">
        <v>355.1</v>
      </c>
      <c r="N40" s="21"/>
      <c r="O40" s="46">
        <f t="shared" si="6"/>
        <v>5</v>
      </c>
      <c r="P40" s="28">
        <v>91.6</v>
      </c>
      <c r="Q40" s="46">
        <f t="shared" si="7"/>
        <v>22</v>
      </c>
      <c r="R40" s="28">
        <v>33.1</v>
      </c>
      <c r="S40" s="46">
        <f t="shared" si="8"/>
        <v>32</v>
      </c>
      <c r="T40" s="28">
        <v>49.7</v>
      </c>
      <c r="U40" s="46">
        <f t="shared" si="9"/>
        <v>28</v>
      </c>
      <c r="V40" s="28">
        <v>39</v>
      </c>
      <c r="W40" s="46">
        <f t="shared" si="10"/>
        <v>32</v>
      </c>
      <c r="X40" s="28">
        <v>36.8</v>
      </c>
      <c r="Y40" s="46">
        <f t="shared" si="11"/>
        <v>43</v>
      </c>
      <c r="Z40" s="32">
        <v>12.7</v>
      </c>
      <c r="AA40" s="18" t="s">
        <v>102</v>
      </c>
    </row>
    <row r="41" spans="1:27" ht="12" customHeight="1">
      <c r="A41" s="16" t="s">
        <v>42</v>
      </c>
      <c r="B41" s="44">
        <f t="shared" si="0"/>
        <v>6</v>
      </c>
      <c r="C41" s="28">
        <v>195.8</v>
      </c>
      <c r="D41" s="46">
        <f t="shared" si="1"/>
        <v>4</v>
      </c>
      <c r="E41" s="28">
        <v>144.4</v>
      </c>
      <c r="F41" s="46">
        <f t="shared" si="2"/>
        <v>33</v>
      </c>
      <c r="G41" s="28">
        <v>32.3</v>
      </c>
      <c r="H41" s="46">
        <f t="shared" si="3"/>
        <v>37</v>
      </c>
      <c r="I41" s="28">
        <v>16.6</v>
      </c>
      <c r="J41" s="46">
        <f t="shared" si="4"/>
        <v>24</v>
      </c>
      <c r="K41" s="28">
        <v>622</v>
      </c>
      <c r="L41" s="46">
        <f t="shared" si="5"/>
        <v>11</v>
      </c>
      <c r="M41" s="28">
        <v>476.3</v>
      </c>
      <c r="N41" s="21"/>
      <c r="O41" s="46">
        <f t="shared" si="6"/>
        <v>11</v>
      </c>
      <c r="P41" s="28">
        <v>78.9</v>
      </c>
      <c r="Q41" s="46">
        <f t="shared" si="7"/>
        <v>13</v>
      </c>
      <c r="R41" s="28">
        <v>38.7</v>
      </c>
      <c r="S41" s="46">
        <f t="shared" si="8"/>
        <v>30</v>
      </c>
      <c r="T41" s="28">
        <v>53.7</v>
      </c>
      <c r="U41" s="46">
        <f t="shared" si="9"/>
        <v>24</v>
      </c>
      <c r="V41" s="28">
        <v>42.2</v>
      </c>
      <c r="W41" s="46">
        <f t="shared" si="10"/>
        <v>24</v>
      </c>
      <c r="X41" s="28">
        <v>40.9</v>
      </c>
      <c r="Y41" s="46">
        <f t="shared" si="11"/>
        <v>39</v>
      </c>
      <c r="Z41" s="32">
        <v>13.8</v>
      </c>
      <c r="AA41" s="18" t="s">
        <v>103</v>
      </c>
    </row>
    <row r="42" spans="1:27" ht="12" customHeight="1">
      <c r="A42" s="16" t="s">
        <v>43</v>
      </c>
      <c r="B42" s="44">
        <f t="shared" si="0"/>
        <v>10</v>
      </c>
      <c r="C42" s="28">
        <v>185.5</v>
      </c>
      <c r="D42" s="46">
        <f t="shared" si="1"/>
        <v>6</v>
      </c>
      <c r="E42" s="28">
        <v>143.5</v>
      </c>
      <c r="F42" s="46">
        <f t="shared" si="2"/>
        <v>10</v>
      </c>
      <c r="G42" s="28">
        <v>43.6</v>
      </c>
      <c r="H42" s="46">
        <f t="shared" si="3"/>
        <v>15</v>
      </c>
      <c r="I42" s="28">
        <v>22.5</v>
      </c>
      <c r="J42" s="46">
        <f t="shared" si="4"/>
        <v>18</v>
      </c>
      <c r="K42" s="28">
        <v>689.3</v>
      </c>
      <c r="L42" s="46">
        <f t="shared" si="5"/>
        <v>9</v>
      </c>
      <c r="M42" s="28">
        <v>501</v>
      </c>
      <c r="N42" s="21"/>
      <c r="O42" s="46">
        <f t="shared" si="6"/>
        <v>17</v>
      </c>
      <c r="P42" s="28">
        <v>66.6</v>
      </c>
      <c r="Q42" s="46">
        <f t="shared" si="7"/>
        <v>21</v>
      </c>
      <c r="R42" s="28">
        <v>33.3</v>
      </c>
      <c r="S42" s="46">
        <f t="shared" si="8"/>
        <v>13</v>
      </c>
      <c r="T42" s="28">
        <v>66.5</v>
      </c>
      <c r="U42" s="46">
        <f t="shared" si="9"/>
        <v>18</v>
      </c>
      <c r="V42" s="28">
        <v>48</v>
      </c>
      <c r="W42" s="46">
        <f t="shared" si="10"/>
        <v>20</v>
      </c>
      <c r="X42" s="28">
        <v>43.9</v>
      </c>
      <c r="Y42" s="46">
        <f t="shared" si="11"/>
        <v>40</v>
      </c>
      <c r="Z42" s="32">
        <v>13.7</v>
      </c>
      <c r="AA42" s="18" t="s">
        <v>77</v>
      </c>
    </row>
    <row r="43" spans="1:27" s="56" customFormat="1" ht="24" customHeight="1">
      <c r="A43" s="51" t="s">
        <v>44</v>
      </c>
      <c r="B43" s="52">
        <f t="shared" si="0"/>
        <v>1</v>
      </c>
      <c r="C43" s="53">
        <v>294.1</v>
      </c>
      <c r="D43" s="54">
        <f t="shared" si="1"/>
        <v>2</v>
      </c>
      <c r="E43" s="53">
        <v>153.8</v>
      </c>
      <c r="F43" s="54">
        <f t="shared" si="2"/>
        <v>17</v>
      </c>
      <c r="G43" s="53">
        <v>39.8</v>
      </c>
      <c r="H43" s="54">
        <f t="shared" si="3"/>
        <v>9</v>
      </c>
      <c r="I43" s="53">
        <v>24</v>
      </c>
      <c r="J43" s="54">
        <f t="shared" si="4"/>
        <v>5</v>
      </c>
      <c r="K43" s="53">
        <v>749.5</v>
      </c>
      <c r="L43" s="54">
        <f t="shared" si="5"/>
        <v>7</v>
      </c>
      <c r="M43" s="53">
        <v>554.4</v>
      </c>
      <c r="N43" s="57"/>
      <c r="O43" s="54">
        <f t="shared" si="6"/>
        <v>2</v>
      </c>
      <c r="P43" s="53">
        <v>101.8</v>
      </c>
      <c r="Q43" s="54">
        <f t="shared" si="7"/>
        <v>2</v>
      </c>
      <c r="R43" s="53">
        <v>49.9</v>
      </c>
      <c r="S43" s="54">
        <f t="shared" si="8"/>
        <v>20</v>
      </c>
      <c r="T43" s="53">
        <v>58.7</v>
      </c>
      <c r="U43" s="54">
        <f t="shared" si="9"/>
        <v>36</v>
      </c>
      <c r="V43" s="53">
        <v>36.2</v>
      </c>
      <c r="W43" s="54">
        <f t="shared" si="10"/>
        <v>34</v>
      </c>
      <c r="X43" s="53">
        <v>36.6</v>
      </c>
      <c r="Y43" s="54">
        <f t="shared" si="11"/>
        <v>22</v>
      </c>
      <c r="Z43" s="58">
        <v>21.5</v>
      </c>
      <c r="AA43" s="55" t="s">
        <v>104</v>
      </c>
    </row>
    <row r="44" spans="1:27" ht="12" customHeight="1">
      <c r="A44" s="16" t="s">
        <v>45</v>
      </c>
      <c r="B44" s="44">
        <f t="shared" si="0"/>
        <v>11</v>
      </c>
      <c r="C44" s="28">
        <v>183.6</v>
      </c>
      <c r="D44" s="46">
        <f t="shared" si="1"/>
        <v>8</v>
      </c>
      <c r="E44" s="28">
        <v>133.4</v>
      </c>
      <c r="F44" s="46">
        <f t="shared" si="2"/>
        <v>9</v>
      </c>
      <c r="G44" s="28">
        <v>43.9</v>
      </c>
      <c r="H44" s="46">
        <f t="shared" si="3"/>
        <v>12</v>
      </c>
      <c r="I44" s="28">
        <v>22.9</v>
      </c>
      <c r="J44" s="46">
        <f t="shared" si="4"/>
        <v>11</v>
      </c>
      <c r="K44" s="28">
        <v>722.3</v>
      </c>
      <c r="L44" s="46">
        <f t="shared" si="5"/>
        <v>18</v>
      </c>
      <c r="M44" s="28">
        <v>411.6</v>
      </c>
      <c r="N44" s="21"/>
      <c r="O44" s="46">
        <f t="shared" si="6"/>
        <v>8</v>
      </c>
      <c r="P44" s="28">
        <v>84.7</v>
      </c>
      <c r="Q44" s="46">
        <f t="shared" si="7"/>
        <v>1</v>
      </c>
      <c r="R44" s="28">
        <v>53</v>
      </c>
      <c r="S44" s="46">
        <f t="shared" si="8"/>
        <v>2</v>
      </c>
      <c r="T44" s="28">
        <v>103.7</v>
      </c>
      <c r="U44" s="46">
        <f t="shared" si="9"/>
        <v>16</v>
      </c>
      <c r="V44" s="28">
        <v>48.4</v>
      </c>
      <c r="W44" s="46">
        <f t="shared" si="10"/>
        <v>19</v>
      </c>
      <c r="X44" s="28">
        <v>44.8</v>
      </c>
      <c r="Y44" s="46">
        <f t="shared" si="11"/>
        <v>10</v>
      </c>
      <c r="Z44" s="32">
        <v>29.2</v>
      </c>
      <c r="AA44" s="18" t="s">
        <v>105</v>
      </c>
    </row>
    <row r="45" spans="1:27" ht="12" customHeight="1">
      <c r="A45" s="16" t="s">
        <v>186</v>
      </c>
      <c r="B45" s="44">
        <f t="shared" si="0"/>
        <v>26</v>
      </c>
      <c r="C45" s="28">
        <v>156.7</v>
      </c>
      <c r="D45" s="46">
        <f t="shared" si="1"/>
        <v>16</v>
      </c>
      <c r="E45" s="28">
        <v>120.3</v>
      </c>
      <c r="F45" s="46">
        <f t="shared" si="2"/>
        <v>19</v>
      </c>
      <c r="G45" s="28">
        <v>39.3</v>
      </c>
      <c r="H45" s="46">
        <f t="shared" si="3"/>
        <v>32</v>
      </c>
      <c r="I45" s="28">
        <v>17.9</v>
      </c>
      <c r="J45" s="46">
        <f t="shared" si="4"/>
        <v>6</v>
      </c>
      <c r="K45" s="28">
        <v>743.3</v>
      </c>
      <c r="L45" s="46">
        <f t="shared" si="5"/>
        <v>10</v>
      </c>
      <c r="M45" s="28">
        <v>498.6</v>
      </c>
      <c r="N45" s="21"/>
      <c r="O45" s="46">
        <f t="shared" si="6"/>
        <v>25</v>
      </c>
      <c r="P45" s="28">
        <v>61.2</v>
      </c>
      <c r="Q45" s="46">
        <f t="shared" si="7"/>
        <v>18</v>
      </c>
      <c r="R45" s="28">
        <v>35.6</v>
      </c>
      <c r="S45" s="46">
        <f t="shared" si="8"/>
        <v>18</v>
      </c>
      <c r="T45" s="28">
        <v>61.2</v>
      </c>
      <c r="U45" s="46">
        <f t="shared" si="9"/>
        <v>31</v>
      </c>
      <c r="V45" s="28">
        <v>38.6</v>
      </c>
      <c r="W45" s="46">
        <f t="shared" si="10"/>
        <v>31</v>
      </c>
      <c r="X45" s="28">
        <v>36.9</v>
      </c>
      <c r="Y45" s="46">
        <f t="shared" si="11"/>
        <v>44</v>
      </c>
      <c r="Z45" s="32">
        <v>10.6</v>
      </c>
      <c r="AA45" s="18" t="s">
        <v>92</v>
      </c>
    </row>
    <row r="46" spans="1:27" ht="12" customHeight="1">
      <c r="A46" s="16" t="s">
        <v>46</v>
      </c>
      <c r="B46" s="44">
        <f t="shared" si="0"/>
        <v>13</v>
      </c>
      <c r="C46" s="28">
        <v>176.3</v>
      </c>
      <c r="D46" s="46">
        <f t="shared" si="1"/>
        <v>5</v>
      </c>
      <c r="E46" s="28">
        <v>144.3</v>
      </c>
      <c r="F46" s="46">
        <f t="shared" si="2"/>
        <v>4</v>
      </c>
      <c r="G46" s="28">
        <v>51.2</v>
      </c>
      <c r="H46" s="46">
        <f t="shared" si="3"/>
        <v>39</v>
      </c>
      <c r="I46" s="28">
        <v>15.9</v>
      </c>
      <c r="J46" s="46">
        <f t="shared" si="4"/>
        <v>1</v>
      </c>
      <c r="K46" s="28">
        <v>798.6</v>
      </c>
      <c r="L46" s="46">
        <f t="shared" si="5"/>
        <v>5</v>
      </c>
      <c r="M46" s="28">
        <v>585.4</v>
      </c>
      <c r="N46" s="21"/>
      <c r="O46" s="46">
        <f t="shared" si="6"/>
        <v>3</v>
      </c>
      <c r="P46" s="28">
        <v>98.3</v>
      </c>
      <c r="Q46" s="46">
        <f t="shared" si="7"/>
        <v>15</v>
      </c>
      <c r="R46" s="28">
        <v>37.7</v>
      </c>
      <c r="S46" s="46">
        <f t="shared" si="8"/>
        <v>19</v>
      </c>
      <c r="T46" s="28">
        <v>60.5</v>
      </c>
      <c r="U46" s="46">
        <f t="shared" si="9"/>
        <v>11</v>
      </c>
      <c r="V46" s="28">
        <v>52</v>
      </c>
      <c r="W46" s="46">
        <f t="shared" si="10"/>
        <v>14</v>
      </c>
      <c r="X46" s="28">
        <v>49.9</v>
      </c>
      <c r="Y46" s="46">
        <f t="shared" si="11"/>
        <v>12</v>
      </c>
      <c r="Z46" s="32">
        <v>28.4</v>
      </c>
      <c r="AA46" s="18" t="s">
        <v>106</v>
      </c>
    </row>
    <row r="47" spans="1:27" ht="12" customHeight="1">
      <c r="A47" s="16" t="s">
        <v>47</v>
      </c>
      <c r="B47" s="44">
        <f t="shared" si="0"/>
        <v>18</v>
      </c>
      <c r="C47" s="28">
        <v>169.4</v>
      </c>
      <c r="D47" s="46">
        <f t="shared" si="1"/>
        <v>9</v>
      </c>
      <c r="E47" s="28">
        <v>131.3</v>
      </c>
      <c r="F47" s="46">
        <f t="shared" si="2"/>
        <v>42</v>
      </c>
      <c r="G47" s="28">
        <v>23.4</v>
      </c>
      <c r="H47" s="46">
        <f t="shared" si="3"/>
        <v>28</v>
      </c>
      <c r="I47" s="28">
        <v>18.6</v>
      </c>
      <c r="J47" s="46">
        <f t="shared" si="4"/>
        <v>17</v>
      </c>
      <c r="K47" s="28">
        <v>696.5</v>
      </c>
      <c r="L47" s="46">
        <f t="shared" si="5"/>
        <v>14</v>
      </c>
      <c r="M47" s="28">
        <v>443</v>
      </c>
      <c r="N47" s="21"/>
      <c r="O47" s="46">
        <f t="shared" si="6"/>
        <v>12</v>
      </c>
      <c r="P47" s="28">
        <v>75.3</v>
      </c>
      <c r="Q47" s="46">
        <f t="shared" si="7"/>
        <v>29</v>
      </c>
      <c r="R47" s="28">
        <v>31</v>
      </c>
      <c r="S47" s="46">
        <f t="shared" si="8"/>
        <v>15</v>
      </c>
      <c r="T47" s="28">
        <v>64.9</v>
      </c>
      <c r="U47" s="46">
        <f t="shared" si="9"/>
        <v>15</v>
      </c>
      <c r="V47" s="28">
        <v>50.2</v>
      </c>
      <c r="W47" s="46">
        <f t="shared" si="10"/>
        <v>16</v>
      </c>
      <c r="X47" s="28">
        <v>46.2</v>
      </c>
      <c r="Y47" s="46">
        <f t="shared" si="11"/>
        <v>27</v>
      </c>
      <c r="Z47" s="32">
        <v>18.6</v>
      </c>
      <c r="AA47" s="18" t="s">
        <v>78</v>
      </c>
    </row>
    <row r="48" spans="1:27" s="56" customFormat="1" ht="24" customHeight="1">
      <c r="A48" s="51" t="s">
        <v>48</v>
      </c>
      <c r="B48" s="52">
        <f t="shared" si="0"/>
        <v>19</v>
      </c>
      <c r="C48" s="53">
        <v>167.6</v>
      </c>
      <c r="D48" s="54">
        <f t="shared" si="1"/>
        <v>7</v>
      </c>
      <c r="E48" s="53">
        <v>134.5</v>
      </c>
      <c r="F48" s="54">
        <f t="shared" si="2"/>
        <v>6</v>
      </c>
      <c r="G48" s="53">
        <v>46</v>
      </c>
      <c r="H48" s="54">
        <f t="shared" si="3"/>
        <v>44</v>
      </c>
      <c r="I48" s="53">
        <v>14.1</v>
      </c>
      <c r="J48" s="54">
        <f t="shared" si="4"/>
        <v>10</v>
      </c>
      <c r="K48" s="53">
        <v>729.1</v>
      </c>
      <c r="L48" s="54">
        <f t="shared" si="5"/>
        <v>6</v>
      </c>
      <c r="M48" s="53">
        <v>561.9</v>
      </c>
      <c r="N48" s="57"/>
      <c r="O48" s="54">
        <f t="shared" si="6"/>
        <v>7</v>
      </c>
      <c r="P48" s="53">
        <v>85.5</v>
      </c>
      <c r="Q48" s="54">
        <f t="shared" si="7"/>
        <v>20</v>
      </c>
      <c r="R48" s="53">
        <v>33.8</v>
      </c>
      <c r="S48" s="54">
        <f t="shared" si="8"/>
        <v>22</v>
      </c>
      <c r="T48" s="53">
        <v>58.4</v>
      </c>
      <c r="U48" s="54">
        <f t="shared" si="9"/>
        <v>20</v>
      </c>
      <c r="V48" s="53">
        <v>46.2</v>
      </c>
      <c r="W48" s="54">
        <f t="shared" si="10"/>
        <v>17</v>
      </c>
      <c r="X48" s="53">
        <v>45.8</v>
      </c>
      <c r="Y48" s="54">
        <f t="shared" si="11"/>
        <v>38</v>
      </c>
      <c r="Z48" s="58">
        <v>14.4</v>
      </c>
      <c r="AA48" s="55" t="s">
        <v>107</v>
      </c>
    </row>
    <row r="49" spans="1:27" ht="12" customHeight="1">
      <c r="A49" s="16" t="s">
        <v>49</v>
      </c>
      <c r="B49" s="44">
        <f t="shared" si="0"/>
        <v>24</v>
      </c>
      <c r="C49" s="28">
        <v>160.6</v>
      </c>
      <c r="D49" s="46">
        <f t="shared" si="1"/>
        <v>12</v>
      </c>
      <c r="E49" s="28">
        <v>124</v>
      </c>
      <c r="F49" s="46">
        <f t="shared" si="2"/>
        <v>24</v>
      </c>
      <c r="G49" s="28">
        <v>37.4</v>
      </c>
      <c r="H49" s="46">
        <f t="shared" si="3"/>
        <v>34</v>
      </c>
      <c r="I49" s="28">
        <v>17.3</v>
      </c>
      <c r="J49" s="46">
        <f t="shared" si="4"/>
        <v>13</v>
      </c>
      <c r="K49" s="28">
        <v>715.4</v>
      </c>
      <c r="L49" s="46">
        <f t="shared" si="5"/>
        <v>3</v>
      </c>
      <c r="M49" s="28">
        <v>592.3</v>
      </c>
      <c r="N49" s="21"/>
      <c r="O49" s="46">
        <f t="shared" si="6"/>
        <v>21</v>
      </c>
      <c r="P49" s="28">
        <v>64.8</v>
      </c>
      <c r="Q49" s="46">
        <f t="shared" si="7"/>
        <v>26</v>
      </c>
      <c r="R49" s="28">
        <v>32.1</v>
      </c>
      <c r="S49" s="46">
        <f t="shared" si="8"/>
        <v>17</v>
      </c>
      <c r="T49" s="28">
        <v>64</v>
      </c>
      <c r="U49" s="46">
        <f t="shared" si="9"/>
        <v>9</v>
      </c>
      <c r="V49" s="28">
        <v>53.2</v>
      </c>
      <c r="W49" s="46">
        <f t="shared" si="10"/>
        <v>10</v>
      </c>
      <c r="X49" s="28">
        <v>51.3</v>
      </c>
      <c r="Y49" s="46">
        <f t="shared" si="11"/>
        <v>24</v>
      </c>
      <c r="Z49" s="32">
        <v>20.2</v>
      </c>
      <c r="AA49" s="18" t="s">
        <v>89</v>
      </c>
    </row>
    <row r="50" spans="1:27" ht="12" customHeight="1">
      <c r="A50" s="16" t="s">
        <v>50</v>
      </c>
      <c r="B50" s="44">
        <f t="shared" si="0"/>
        <v>33</v>
      </c>
      <c r="C50" s="28">
        <v>144.3</v>
      </c>
      <c r="D50" s="46">
        <f t="shared" si="1"/>
        <v>37</v>
      </c>
      <c r="E50" s="28">
        <v>106.4</v>
      </c>
      <c r="F50" s="46">
        <f t="shared" si="2"/>
        <v>22</v>
      </c>
      <c r="G50" s="28">
        <v>38.1</v>
      </c>
      <c r="H50" s="46">
        <f t="shared" si="3"/>
        <v>38</v>
      </c>
      <c r="I50" s="28">
        <v>16.5</v>
      </c>
      <c r="J50" s="46">
        <f t="shared" si="4"/>
        <v>2</v>
      </c>
      <c r="K50" s="28">
        <v>780.6</v>
      </c>
      <c r="L50" s="46">
        <f t="shared" si="5"/>
        <v>4</v>
      </c>
      <c r="M50" s="28">
        <v>589.2</v>
      </c>
      <c r="N50" s="21"/>
      <c r="O50" s="46">
        <f t="shared" si="6"/>
        <v>10</v>
      </c>
      <c r="P50" s="28">
        <v>82.6</v>
      </c>
      <c r="Q50" s="46">
        <f t="shared" si="7"/>
        <v>16</v>
      </c>
      <c r="R50" s="28">
        <v>37.1</v>
      </c>
      <c r="S50" s="46">
        <f t="shared" si="8"/>
        <v>23</v>
      </c>
      <c r="T50" s="28">
        <v>57.9</v>
      </c>
      <c r="U50" s="46">
        <f t="shared" si="9"/>
        <v>12</v>
      </c>
      <c r="V50" s="28">
        <v>51.6</v>
      </c>
      <c r="W50" s="46">
        <f t="shared" si="10"/>
        <v>13</v>
      </c>
      <c r="X50" s="28">
        <v>50.6</v>
      </c>
      <c r="Y50" s="46">
        <f t="shared" si="11"/>
        <v>42</v>
      </c>
      <c r="Z50" s="32">
        <v>12.8</v>
      </c>
      <c r="AA50" s="18" t="s">
        <v>108</v>
      </c>
    </row>
    <row r="51" spans="1:27" ht="12" customHeight="1">
      <c r="A51" s="15" t="s">
        <v>51</v>
      </c>
      <c r="B51" s="49">
        <f t="shared" si="0"/>
        <v>36</v>
      </c>
      <c r="C51" s="29">
        <v>142.7</v>
      </c>
      <c r="D51" s="47">
        <f t="shared" si="1"/>
        <v>24</v>
      </c>
      <c r="E51" s="29">
        <v>113.4</v>
      </c>
      <c r="F51" s="47">
        <f t="shared" si="2"/>
        <v>13</v>
      </c>
      <c r="G51" s="29">
        <v>42.2</v>
      </c>
      <c r="H51" s="47">
        <f t="shared" si="3"/>
        <v>21</v>
      </c>
      <c r="I51" s="29">
        <v>21</v>
      </c>
      <c r="J51" s="47">
        <f t="shared" si="4"/>
        <v>16</v>
      </c>
      <c r="K51" s="29">
        <v>708.4</v>
      </c>
      <c r="L51" s="47">
        <f t="shared" si="5"/>
        <v>8</v>
      </c>
      <c r="M51" s="29">
        <v>529.9</v>
      </c>
      <c r="N51" s="22"/>
      <c r="O51" s="47">
        <f t="shared" si="6"/>
        <v>6</v>
      </c>
      <c r="P51" s="29">
        <v>91.1</v>
      </c>
      <c r="Q51" s="47">
        <f t="shared" si="7"/>
        <v>4</v>
      </c>
      <c r="R51" s="29">
        <v>49.1</v>
      </c>
      <c r="S51" s="47">
        <f t="shared" si="8"/>
        <v>5</v>
      </c>
      <c r="T51" s="29">
        <v>87.7</v>
      </c>
      <c r="U51" s="47">
        <f t="shared" si="9"/>
        <v>10</v>
      </c>
      <c r="V51" s="29">
        <v>52.5</v>
      </c>
      <c r="W51" s="47">
        <f t="shared" si="10"/>
        <v>5</v>
      </c>
      <c r="X51" s="29">
        <v>66.7</v>
      </c>
      <c r="Y51" s="47">
        <f t="shared" si="11"/>
        <v>37</v>
      </c>
      <c r="Z51" s="33">
        <v>15.5</v>
      </c>
      <c r="AA51" s="19" t="s">
        <v>96</v>
      </c>
    </row>
    <row r="52" spans="1:27" ht="12" customHeight="1">
      <c r="A52" s="16" t="s">
        <v>52</v>
      </c>
      <c r="B52" s="44">
        <f t="shared" si="0"/>
        <v>44</v>
      </c>
      <c r="C52" s="28">
        <v>125.6</v>
      </c>
      <c r="D52" s="46">
        <f t="shared" si="1"/>
        <v>40</v>
      </c>
      <c r="E52" s="28">
        <v>101.4</v>
      </c>
      <c r="F52" s="46">
        <f t="shared" si="2"/>
        <v>29</v>
      </c>
      <c r="G52" s="28">
        <v>36</v>
      </c>
      <c r="H52" s="46">
        <f t="shared" si="3"/>
        <v>35</v>
      </c>
      <c r="I52" s="28">
        <v>17.1</v>
      </c>
      <c r="J52" s="46">
        <f t="shared" si="4"/>
        <v>8</v>
      </c>
      <c r="K52" s="28">
        <v>741.2</v>
      </c>
      <c r="L52" s="46">
        <f t="shared" si="5"/>
        <v>2</v>
      </c>
      <c r="M52" s="28">
        <v>637.8</v>
      </c>
      <c r="N52" s="21"/>
      <c r="O52" s="46">
        <f t="shared" si="6"/>
        <v>4</v>
      </c>
      <c r="P52" s="28">
        <v>94.3</v>
      </c>
      <c r="Q52" s="46">
        <f t="shared" si="7"/>
        <v>22</v>
      </c>
      <c r="R52" s="28">
        <v>33.1</v>
      </c>
      <c r="S52" s="46">
        <f t="shared" si="8"/>
        <v>14</v>
      </c>
      <c r="T52" s="28">
        <v>65.6</v>
      </c>
      <c r="U52" s="46">
        <f t="shared" si="9"/>
        <v>5</v>
      </c>
      <c r="V52" s="28">
        <v>55.4</v>
      </c>
      <c r="W52" s="46">
        <f t="shared" si="10"/>
        <v>6</v>
      </c>
      <c r="X52" s="28">
        <v>54</v>
      </c>
      <c r="Y52" s="46">
        <f t="shared" si="11"/>
        <v>36</v>
      </c>
      <c r="Z52" s="32">
        <v>16</v>
      </c>
      <c r="AA52" s="18" t="s">
        <v>75</v>
      </c>
    </row>
    <row r="53" spans="1:27" s="56" customFormat="1" ht="24" customHeight="1">
      <c r="A53" s="51" t="s">
        <v>53</v>
      </c>
      <c r="B53" s="52">
        <f t="shared" si="0"/>
        <v>42</v>
      </c>
      <c r="C53" s="53">
        <v>132.4</v>
      </c>
      <c r="D53" s="54">
        <f t="shared" si="1"/>
        <v>33</v>
      </c>
      <c r="E53" s="53">
        <v>108</v>
      </c>
      <c r="F53" s="54">
        <f t="shared" si="2"/>
        <v>20</v>
      </c>
      <c r="G53" s="53">
        <v>39.2</v>
      </c>
      <c r="H53" s="54">
        <f t="shared" si="3"/>
        <v>7</v>
      </c>
      <c r="I53" s="53">
        <v>24.7</v>
      </c>
      <c r="J53" s="54">
        <f t="shared" si="4"/>
        <v>9</v>
      </c>
      <c r="K53" s="53">
        <v>738</v>
      </c>
      <c r="L53" s="54">
        <f t="shared" si="5"/>
        <v>1</v>
      </c>
      <c r="M53" s="53">
        <v>653.5</v>
      </c>
      <c r="N53" s="57"/>
      <c r="O53" s="54">
        <f t="shared" si="6"/>
        <v>20</v>
      </c>
      <c r="P53" s="53">
        <v>65.5</v>
      </c>
      <c r="Q53" s="54">
        <f t="shared" si="7"/>
        <v>31</v>
      </c>
      <c r="R53" s="53">
        <v>30.4</v>
      </c>
      <c r="S53" s="54">
        <f t="shared" si="8"/>
        <v>21</v>
      </c>
      <c r="T53" s="53">
        <v>58.5</v>
      </c>
      <c r="U53" s="54">
        <f t="shared" si="9"/>
        <v>8</v>
      </c>
      <c r="V53" s="53">
        <v>54.6</v>
      </c>
      <c r="W53" s="54">
        <f t="shared" si="10"/>
        <v>7</v>
      </c>
      <c r="X53" s="53">
        <v>53.7</v>
      </c>
      <c r="Y53" s="54">
        <f t="shared" si="11"/>
        <v>29</v>
      </c>
      <c r="Z53" s="58">
        <v>18.1</v>
      </c>
      <c r="AA53" s="55" t="s">
        <v>109</v>
      </c>
    </row>
    <row r="54" spans="1:27" ht="12" customHeight="1">
      <c r="A54" s="36" t="s">
        <v>54</v>
      </c>
      <c r="B54" s="45">
        <f t="shared" si="0"/>
        <v>47</v>
      </c>
      <c r="C54" s="37">
        <v>111.5</v>
      </c>
      <c r="D54" s="48">
        <f t="shared" si="1"/>
        <v>47</v>
      </c>
      <c r="E54" s="37">
        <v>91.2</v>
      </c>
      <c r="F54" s="48">
        <f t="shared" si="2"/>
        <v>26</v>
      </c>
      <c r="G54" s="37">
        <v>37</v>
      </c>
      <c r="H54" s="48">
        <f t="shared" si="3"/>
        <v>11</v>
      </c>
      <c r="I54" s="37">
        <v>23.4</v>
      </c>
      <c r="J54" s="48">
        <f t="shared" si="4"/>
        <v>28</v>
      </c>
      <c r="K54" s="37">
        <v>583.3</v>
      </c>
      <c r="L54" s="48">
        <f t="shared" si="5"/>
        <v>22</v>
      </c>
      <c r="M54" s="37">
        <v>362.7</v>
      </c>
      <c r="N54" s="21"/>
      <c r="O54" s="48">
        <f t="shared" si="6"/>
        <v>39</v>
      </c>
      <c r="P54" s="37">
        <v>47.3</v>
      </c>
      <c r="Q54" s="48">
        <f t="shared" si="7"/>
        <v>43</v>
      </c>
      <c r="R54" s="37">
        <v>18.6</v>
      </c>
      <c r="S54" s="48">
        <f t="shared" si="8"/>
        <v>47</v>
      </c>
      <c r="T54" s="37">
        <v>24.9</v>
      </c>
      <c r="U54" s="48">
        <f t="shared" si="9"/>
        <v>45</v>
      </c>
      <c r="V54" s="37">
        <v>27.1</v>
      </c>
      <c r="W54" s="48">
        <f t="shared" si="10"/>
        <v>44</v>
      </c>
      <c r="X54" s="37">
        <v>26.6</v>
      </c>
      <c r="Y54" s="48">
        <f t="shared" si="11"/>
        <v>46</v>
      </c>
      <c r="Z54" s="39">
        <v>6.3</v>
      </c>
      <c r="AA54" s="38" t="s">
        <v>110</v>
      </c>
    </row>
    <row r="55" spans="1:27" ht="13.5">
      <c r="A55" s="20" t="s">
        <v>198</v>
      </c>
      <c r="B55" s="20"/>
      <c r="C55" s="7"/>
      <c r="D55" s="7"/>
      <c r="E55" s="7"/>
      <c r="F55" s="7"/>
      <c r="G55" s="7"/>
      <c r="H55" s="8"/>
      <c r="J55" s="7"/>
      <c r="K55" s="7"/>
      <c r="L55" s="7"/>
      <c r="N55" s="24"/>
      <c r="O55" s="7"/>
      <c r="P55" s="7"/>
      <c r="Q55" s="8"/>
      <c r="S55" s="7"/>
      <c r="T55" s="7"/>
      <c r="U55" s="7"/>
      <c r="V55" s="7"/>
      <c r="W55" s="8"/>
      <c r="Y55" s="8"/>
      <c r="AA55" s="7"/>
    </row>
  </sheetData>
  <mergeCells count="15">
    <mergeCell ref="AA4:AA6"/>
    <mergeCell ref="W4:X5"/>
    <mergeCell ref="A4:A6"/>
    <mergeCell ref="B4:C5"/>
    <mergeCell ref="D5:E5"/>
    <mergeCell ref="D4:E4"/>
    <mergeCell ref="F4:G5"/>
    <mergeCell ref="H4:I5"/>
    <mergeCell ref="J4:K5"/>
    <mergeCell ref="L4:M5"/>
    <mergeCell ref="Y4:Z5"/>
    <mergeCell ref="O4:P5"/>
    <mergeCell ref="Q4:R5"/>
    <mergeCell ref="S4:T5"/>
    <mergeCell ref="U4:V5"/>
  </mergeCells>
  <printOptions horizontalCentered="1" verticalCentered="1"/>
  <pageMargins left="0.5905511811023623" right="0.3937007874015748" top="0" bottom="0" header="0.5118110236220472" footer="0.5118110236220472"/>
  <pageSetup blackAndWhite="1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S55"/>
  <sheetViews>
    <sheetView zoomScaleSheetLayoutView="12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8.625" style="161" customWidth="1"/>
    <col min="3" max="3" width="20.625" style="161" customWidth="1"/>
    <col min="4" max="4" width="8.625" style="161" customWidth="1"/>
    <col min="5" max="5" width="20.625" style="161" customWidth="1"/>
    <col min="6" max="6" width="8.625" style="161" customWidth="1"/>
    <col min="7" max="7" width="20.625" style="161" customWidth="1"/>
    <col min="8" max="8" width="3.625" style="72" customWidth="1"/>
    <col min="9" max="9" width="6.625" style="161" customWidth="1"/>
    <col min="10" max="10" width="11.125" style="213" customWidth="1"/>
    <col min="11" max="11" width="6.625" style="213" customWidth="1"/>
    <col min="12" max="12" width="11.125" style="213" customWidth="1"/>
    <col min="13" max="13" width="6.625" style="213" customWidth="1"/>
    <col min="14" max="14" width="11.125" style="213" customWidth="1"/>
    <col min="15" max="15" width="6.625" style="162" customWidth="1"/>
    <col min="16" max="16" width="11.125" style="162" customWidth="1"/>
    <col min="17" max="17" width="6.625" style="162" customWidth="1"/>
    <col min="18" max="18" width="11.125" style="162" customWidth="1"/>
    <col min="19" max="19" width="5.125" style="213" customWidth="1"/>
    <col min="20" max="16384" width="9.00390625" style="159" customWidth="1"/>
  </cols>
  <sheetData>
    <row r="1" spans="1:19" ht="18.75">
      <c r="A1" s="155" t="s">
        <v>55</v>
      </c>
      <c r="B1" s="156"/>
      <c r="C1" s="156"/>
      <c r="D1" s="157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</row>
    <row r="2" spans="1:19" ht="18.75">
      <c r="A2" s="155" t="s">
        <v>156</v>
      </c>
      <c r="B2" s="160"/>
      <c r="D2" s="157" t="s">
        <v>175</v>
      </c>
      <c r="E2" s="158"/>
      <c r="F2" s="158"/>
      <c r="G2" s="158"/>
      <c r="H2" s="158"/>
      <c r="I2" s="157" t="s">
        <v>173</v>
      </c>
      <c r="J2" s="158"/>
      <c r="K2" s="158"/>
      <c r="L2" s="158"/>
      <c r="M2" s="157"/>
      <c r="N2" s="158"/>
      <c r="O2" s="158"/>
      <c r="P2" s="158"/>
      <c r="Q2" s="158"/>
      <c r="R2" s="158"/>
      <c r="S2" s="158"/>
    </row>
    <row r="3" spans="1:19" ht="14.25" thickBot="1">
      <c r="A3" s="164"/>
      <c r="B3" s="164"/>
      <c r="C3" s="164"/>
      <c r="D3" s="164"/>
      <c r="E3" s="164"/>
      <c r="F3" s="164"/>
      <c r="G3" s="164"/>
      <c r="H3" s="263"/>
      <c r="I3" s="165"/>
      <c r="J3" s="226"/>
      <c r="K3" s="226"/>
      <c r="L3" s="224"/>
      <c r="M3" s="226"/>
      <c r="N3" s="226"/>
      <c r="O3" s="164"/>
      <c r="P3" s="164"/>
      <c r="Q3" s="165"/>
      <c r="R3" s="165"/>
      <c r="S3" s="166" t="s">
        <v>196</v>
      </c>
    </row>
    <row r="4" spans="1:19" ht="21" customHeight="1">
      <c r="A4" s="167" t="s">
        <v>1</v>
      </c>
      <c r="B4" s="168" t="s">
        <v>157</v>
      </c>
      <c r="C4" s="169"/>
      <c r="D4" s="168" t="s">
        <v>158</v>
      </c>
      <c r="E4" s="169"/>
      <c r="F4" s="168" t="s">
        <v>159</v>
      </c>
      <c r="G4" s="169"/>
      <c r="H4" s="78"/>
      <c r="I4" s="216" t="s">
        <v>160</v>
      </c>
      <c r="J4" s="216"/>
      <c r="K4" s="216"/>
      <c r="L4" s="217"/>
      <c r="M4" s="168" t="s">
        <v>210</v>
      </c>
      <c r="N4" s="227"/>
      <c r="O4" s="264" t="s">
        <v>223</v>
      </c>
      <c r="P4" s="216"/>
      <c r="Q4" s="216"/>
      <c r="R4" s="217"/>
      <c r="S4" s="173" t="s">
        <v>1</v>
      </c>
    </row>
    <row r="5" spans="1:19" ht="21" customHeight="1">
      <c r="A5" s="174"/>
      <c r="B5" s="175"/>
      <c r="C5" s="176"/>
      <c r="D5" s="175"/>
      <c r="E5" s="181"/>
      <c r="F5" s="175"/>
      <c r="G5" s="181"/>
      <c r="H5" s="78"/>
      <c r="I5" s="181" t="s">
        <v>161</v>
      </c>
      <c r="J5" s="178"/>
      <c r="K5" s="175" t="s">
        <v>162</v>
      </c>
      <c r="L5" s="178"/>
      <c r="M5" s="177"/>
      <c r="N5" s="178"/>
      <c r="O5" s="175" t="s">
        <v>163</v>
      </c>
      <c r="P5" s="178"/>
      <c r="Q5" s="175" t="s">
        <v>164</v>
      </c>
      <c r="R5" s="178"/>
      <c r="S5" s="184"/>
    </row>
    <row r="6" spans="1:19" ht="27.75" customHeight="1">
      <c r="A6" s="185"/>
      <c r="B6" s="186" t="s">
        <v>2</v>
      </c>
      <c r="C6" s="187" t="s">
        <v>116</v>
      </c>
      <c r="D6" s="186" t="s">
        <v>2</v>
      </c>
      <c r="E6" s="187" t="s">
        <v>116</v>
      </c>
      <c r="F6" s="186" t="s">
        <v>2</v>
      </c>
      <c r="G6" s="190" t="s">
        <v>116</v>
      </c>
      <c r="H6" s="78"/>
      <c r="I6" s="189" t="s">
        <v>2</v>
      </c>
      <c r="J6" s="188" t="s">
        <v>187</v>
      </c>
      <c r="K6" s="186" t="s">
        <v>2</v>
      </c>
      <c r="L6" s="188" t="s">
        <v>187</v>
      </c>
      <c r="M6" s="186" t="s">
        <v>2</v>
      </c>
      <c r="N6" s="187" t="s">
        <v>167</v>
      </c>
      <c r="O6" s="186" t="s">
        <v>2</v>
      </c>
      <c r="P6" s="187" t="s">
        <v>165</v>
      </c>
      <c r="Q6" s="186" t="s">
        <v>2</v>
      </c>
      <c r="R6" s="187" t="s">
        <v>182</v>
      </c>
      <c r="S6" s="191"/>
    </row>
    <row r="7" spans="1:19" ht="12" customHeight="1">
      <c r="A7" s="192" t="s">
        <v>8</v>
      </c>
      <c r="B7" s="193"/>
      <c r="C7" s="59">
        <v>60.5</v>
      </c>
      <c r="D7" s="60"/>
      <c r="E7" s="59">
        <v>24.8</v>
      </c>
      <c r="F7" s="60"/>
      <c r="G7" s="59">
        <v>23.002060821664486</v>
      </c>
      <c r="H7" s="219"/>
      <c r="I7" s="60"/>
      <c r="J7" s="265">
        <v>77.71</v>
      </c>
      <c r="K7" s="60"/>
      <c r="L7" s="265">
        <v>84.62</v>
      </c>
      <c r="M7" s="60"/>
      <c r="N7" s="59">
        <v>96.9</v>
      </c>
      <c r="O7" s="60"/>
      <c r="P7" s="266">
        <v>27347</v>
      </c>
      <c r="Q7" s="60"/>
      <c r="R7" s="266">
        <v>2681182</v>
      </c>
      <c r="S7" s="195" t="s">
        <v>71</v>
      </c>
    </row>
    <row r="8" spans="1:19" s="200" customFormat="1" ht="24" customHeight="1">
      <c r="A8" s="196" t="s">
        <v>9</v>
      </c>
      <c r="B8" s="197">
        <f aca="true" t="shared" si="0" ref="B8:B54">IF(C8="","",RANK(C8,C$8:C$54))</f>
        <v>35</v>
      </c>
      <c r="C8" s="61">
        <v>45</v>
      </c>
      <c r="D8" s="62">
        <f aca="true" t="shared" si="1" ref="D8:D54">IF(E8="","",RANK(E8,E$8:E$54))</f>
        <v>41</v>
      </c>
      <c r="E8" s="61">
        <v>17.2</v>
      </c>
      <c r="F8" s="62">
        <f aca="true" t="shared" si="2" ref="F8:F54">IF(G8="","",RANK(G8,G$8:G$54))</f>
        <v>17</v>
      </c>
      <c r="G8" s="61">
        <v>27.937798197561406</v>
      </c>
      <c r="H8" s="267"/>
      <c r="I8" s="62">
        <f aca="true" t="shared" si="3" ref="I8:I54">IF(J8="","",RANK(J8,J$8:J$54))</f>
        <v>28</v>
      </c>
      <c r="J8" s="268">
        <v>77.55</v>
      </c>
      <c r="K8" s="62">
        <f aca="true" t="shared" si="4" ref="K8:K54">IF(L8="","",RANK(L8,L$8:L$54))</f>
        <v>18</v>
      </c>
      <c r="L8" s="268">
        <v>84.84</v>
      </c>
      <c r="M8" s="62">
        <f aca="true" t="shared" si="5" ref="M8:M54">IF(N8="","",RANK(N8,N$8:N$54))</f>
        <v>25</v>
      </c>
      <c r="N8" s="61">
        <v>96.9</v>
      </c>
      <c r="O8" s="62">
        <f aca="true" t="shared" si="6" ref="O8:O54">IF(P8="","",RANK(P8,P$8:P$54))</f>
        <v>4</v>
      </c>
      <c r="P8" s="269">
        <v>2263</v>
      </c>
      <c r="Q8" s="62">
        <f aca="true" t="shared" si="7" ref="Q8:Q54">IF(R8="","",RANK(R8,R$8:R$54))</f>
        <v>2</v>
      </c>
      <c r="R8" s="269">
        <v>261822</v>
      </c>
      <c r="S8" s="199" t="s">
        <v>72</v>
      </c>
    </row>
    <row r="9" spans="1:19" ht="12" customHeight="1">
      <c r="A9" s="201" t="s">
        <v>10</v>
      </c>
      <c r="B9" s="202">
        <f t="shared" si="0"/>
        <v>10</v>
      </c>
      <c r="C9" s="63">
        <v>57.9</v>
      </c>
      <c r="D9" s="64">
        <f t="shared" si="1"/>
        <v>16</v>
      </c>
      <c r="E9" s="63">
        <v>23.8</v>
      </c>
      <c r="F9" s="64">
        <f t="shared" si="2"/>
        <v>37</v>
      </c>
      <c r="G9" s="63">
        <v>13.679890560875513</v>
      </c>
      <c r="H9" s="270"/>
      <c r="I9" s="64">
        <f t="shared" si="3"/>
        <v>47</v>
      </c>
      <c r="J9" s="271">
        <v>75.67</v>
      </c>
      <c r="K9" s="64">
        <f t="shared" si="4"/>
        <v>47</v>
      </c>
      <c r="L9" s="271">
        <v>83.69</v>
      </c>
      <c r="M9" s="64">
        <f t="shared" si="5"/>
        <v>21</v>
      </c>
      <c r="N9" s="63">
        <v>97.2</v>
      </c>
      <c r="O9" s="64">
        <f t="shared" si="6"/>
        <v>7</v>
      </c>
      <c r="P9" s="272">
        <v>1030</v>
      </c>
      <c r="Q9" s="64">
        <f t="shared" si="7"/>
        <v>5</v>
      </c>
      <c r="R9" s="272">
        <v>149080</v>
      </c>
      <c r="S9" s="204" t="s">
        <v>73</v>
      </c>
    </row>
    <row r="10" spans="1:19" ht="12" customHeight="1">
      <c r="A10" s="201" t="s">
        <v>11</v>
      </c>
      <c r="B10" s="202">
        <f t="shared" si="0"/>
        <v>43</v>
      </c>
      <c r="C10" s="63">
        <v>38</v>
      </c>
      <c r="D10" s="64">
        <f t="shared" si="1"/>
        <v>43</v>
      </c>
      <c r="E10" s="63">
        <v>17.1</v>
      </c>
      <c r="F10" s="64">
        <f t="shared" si="2"/>
        <v>40</v>
      </c>
      <c r="G10" s="63">
        <v>8.559201141226819</v>
      </c>
      <c r="H10" s="270"/>
      <c r="I10" s="64">
        <f t="shared" si="3"/>
        <v>39</v>
      </c>
      <c r="J10" s="271">
        <v>77.09</v>
      </c>
      <c r="K10" s="64">
        <f t="shared" si="4"/>
        <v>29</v>
      </c>
      <c r="L10" s="271">
        <v>84.6</v>
      </c>
      <c r="M10" s="64">
        <f t="shared" si="5"/>
        <v>43</v>
      </c>
      <c r="N10" s="63">
        <v>91</v>
      </c>
      <c r="O10" s="64">
        <f t="shared" si="6"/>
        <v>21</v>
      </c>
      <c r="P10" s="272">
        <v>375</v>
      </c>
      <c r="Q10" s="64">
        <f t="shared" si="7"/>
        <v>8</v>
      </c>
      <c r="R10" s="272">
        <v>113174</v>
      </c>
      <c r="S10" s="204" t="s">
        <v>74</v>
      </c>
    </row>
    <row r="11" spans="1:19" ht="12" customHeight="1">
      <c r="A11" s="201" t="s">
        <v>12</v>
      </c>
      <c r="B11" s="202">
        <f t="shared" si="0"/>
        <v>38</v>
      </c>
      <c r="C11" s="63">
        <v>42.8</v>
      </c>
      <c r="D11" s="64">
        <f t="shared" si="1"/>
        <v>37</v>
      </c>
      <c r="E11" s="63">
        <v>18.6</v>
      </c>
      <c r="F11" s="64">
        <f t="shared" si="2"/>
        <v>46</v>
      </c>
      <c r="G11" s="63">
        <v>3.7926675094816686</v>
      </c>
      <c r="H11" s="270"/>
      <c r="I11" s="64">
        <f t="shared" si="3"/>
        <v>23</v>
      </c>
      <c r="J11" s="271">
        <v>77.71</v>
      </c>
      <c r="K11" s="64">
        <f t="shared" si="4"/>
        <v>23</v>
      </c>
      <c r="L11" s="271">
        <v>84.74</v>
      </c>
      <c r="M11" s="64">
        <f t="shared" si="5"/>
        <v>16</v>
      </c>
      <c r="N11" s="63">
        <v>98.4</v>
      </c>
      <c r="O11" s="64">
        <f t="shared" si="6"/>
        <v>9</v>
      </c>
      <c r="P11" s="272">
        <v>762</v>
      </c>
      <c r="Q11" s="64">
        <f t="shared" si="7"/>
        <v>20</v>
      </c>
      <c r="R11" s="272">
        <v>42624</v>
      </c>
      <c r="S11" s="204" t="s">
        <v>75</v>
      </c>
    </row>
    <row r="12" spans="1:19" ht="12" customHeight="1">
      <c r="A12" s="201" t="s">
        <v>13</v>
      </c>
      <c r="B12" s="202">
        <f t="shared" si="0"/>
        <v>41</v>
      </c>
      <c r="C12" s="63">
        <v>40.3</v>
      </c>
      <c r="D12" s="64">
        <f t="shared" si="1"/>
        <v>44</v>
      </c>
      <c r="E12" s="63">
        <v>15.4</v>
      </c>
      <c r="F12" s="64">
        <f t="shared" si="2"/>
        <v>14</v>
      </c>
      <c r="G12" s="63">
        <v>30.67694944301628</v>
      </c>
      <c r="H12" s="270"/>
      <c r="I12" s="64">
        <f t="shared" si="3"/>
        <v>46</v>
      </c>
      <c r="J12" s="271">
        <v>76.81</v>
      </c>
      <c r="K12" s="64">
        <f t="shared" si="4"/>
        <v>40</v>
      </c>
      <c r="L12" s="271">
        <v>84.32</v>
      </c>
      <c r="M12" s="64">
        <f t="shared" si="5"/>
        <v>46</v>
      </c>
      <c r="N12" s="63">
        <v>88.2</v>
      </c>
      <c r="O12" s="64">
        <f t="shared" si="6"/>
        <v>11</v>
      </c>
      <c r="P12" s="272">
        <v>574</v>
      </c>
      <c r="Q12" s="64">
        <f t="shared" si="7"/>
        <v>11</v>
      </c>
      <c r="R12" s="272">
        <v>82445</v>
      </c>
      <c r="S12" s="204" t="s">
        <v>76</v>
      </c>
    </row>
    <row r="13" spans="1:19" s="200" customFormat="1" ht="24" customHeight="1">
      <c r="A13" s="196" t="s">
        <v>14</v>
      </c>
      <c r="B13" s="197">
        <f t="shared" si="0"/>
        <v>47</v>
      </c>
      <c r="C13" s="61">
        <v>29.3</v>
      </c>
      <c r="D13" s="62">
        <f t="shared" si="1"/>
        <v>45</v>
      </c>
      <c r="E13" s="61">
        <v>14.6</v>
      </c>
      <c r="F13" s="62">
        <f t="shared" si="2"/>
        <v>9</v>
      </c>
      <c r="G13" s="61">
        <v>39.43089430894309</v>
      </c>
      <c r="H13" s="267"/>
      <c r="I13" s="62">
        <f t="shared" si="3"/>
        <v>24</v>
      </c>
      <c r="J13" s="268">
        <v>77.69</v>
      </c>
      <c r="K13" s="62">
        <f t="shared" si="4"/>
        <v>30</v>
      </c>
      <c r="L13" s="268">
        <v>84.57</v>
      </c>
      <c r="M13" s="62">
        <f t="shared" si="5"/>
        <v>23</v>
      </c>
      <c r="N13" s="61">
        <v>97</v>
      </c>
      <c r="O13" s="62">
        <f t="shared" si="6"/>
        <v>19</v>
      </c>
      <c r="P13" s="269">
        <v>397</v>
      </c>
      <c r="Q13" s="62">
        <f t="shared" si="7"/>
        <v>17</v>
      </c>
      <c r="R13" s="269">
        <v>58897</v>
      </c>
      <c r="S13" s="199" t="s">
        <v>77</v>
      </c>
    </row>
    <row r="14" spans="1:19" ht="12" customHeight="1">
      <c r="A14" s="201" t="s">
        <v>15</v>
      </c>
      <c r="B14" s="202">
        <f t="shared" si="0"/>
        <v>45</v>
      </c>
      <c r="C14" s="63">
        <v>34.4</v>
      </c>
      <c r="D14" s="64">
        <f t="shared" si="1"/>
        <v>40</v>
      </c>
      <c r="E14" s="63">
        <v>17.7</v>
      </c>
      <c r="F14" s="64">
        <f t="shared" si="2"/>
        <v>23</v>
      </c>
      <c r="G14" s="63">
        <v>22.62186464742073</v>
      </c>
      <c r="H14" s="270"/>
      <c r="I14" s="64">
        <f t="shared" si="3"/>
        <v>37</v>
      </c>
      <c r="J14" s="271">
        <v>77.18</v>
      </c>
      <c r="K14" s="64">
        <f t="shared" si="4"/>
        <v>43</v>
      </c>
      <c r="L14" s="271">
        <v>84.21</v>
      </c>
      <c r="M14" s="64">
        <f t="shared" si="5"/>
        <v>42</v>
      </c>
      <c r="N14" s="63">
        <v>91.3</v>
      </c>
      <c r="O14" s="64">
        <f t="shared" si="6"/>
        <v>8</v>
      </c>
      <c r="P14" s="272">
        <v>775</v>
      </c>
      <c r="Q14" s="64">
        <f t="shared" si="7"/>
        <v>10</v>
      </c>
      <c r="R14" s="272">
        <v>83850</v>
      </c>
      <c r="S14" s="204" t="s">
        <v>78</v>
      </c>
    </row>
    <row r="15" spans="1:19" ht="12" customHeight="1">
      <c r="A15" s="201" t="s">
        <v>16</v>
      </c>
      <c r="B15" s="202">
        <f t="shared" si="0"/>
        <v>12</v>
      </c>
      <c r="C15" s="63">
        <v>57.8</v>
      </c>
      <c r="D15" s="64">
        <f t="shared" si="1"/>
        <v>24</v>
      </c>
      <c r="E15" s="63">
        <v>21</v>
      </c>
      <c r="F15" s="64">
        <f t="shared" si="2"/>
        <v>27</v>
      </c>
      <c r="G15" s="63">
        <v>19.7592778335005</v>
      </c>
      <c r="H15" s="270"/>
      <c r="I15" s="64">
        <f t="shared" si="3"/>
        <v>35</v>
      </c>
      <c r="J15" s="271">
        <v>77.2</v>
      </c>
      <c r="K15" s="64">
        <f t="shared" si="4"/>
        <v>43</v>
      </c>
      <c r="L15" s="271">
        <v>84.21</v>
      </c>
      <c r="M15" s="64">
        <f t="shared" si="5"/>
        <v>44</v>
      </c>
      <c r="N15" s="63">
        <v>89</v>
      </c>
      <c r="O15" s="64">
        <f t="shared" si="6"/>
        <v>37</v>
      </c>
      <c r="P15" s="272">
        <v>139</v>
      </c>
      <c r="Q15" s="64">
        <f t="shared" si="7"/>
        <v>36</v>
      </c>
      <c r="R15" s="272">
        <v>19788</v>
      </c>
      <c r="S15" s="204" t="s">
        <v>79</v>
      </c>
    </row>
    <row r="16" spans="1:19" ht="12" customHeight="1">
      <c r="A16" s="201" t="s">
        <v>17</v>
      </c>
      <c r="B16" s="202">
        <f t="shared" si="0"/>
        <v>30</v>
      </c>
      <c r="C16" s="63">
        <v>48.1</v>
      </c>
      <c r="D16" s="64">
        <f t="shared" si="1"/>
        <v>38</v>
      </c>
      <c r="E16" s="63">
        <v>17.9</v>
      </c>
      <c r="F16" s="64">
        <f t="shared" si="2"/>
        <v>5</v>
      </c>
      <c r="G16" s="63">
        <v>45.54947787170562</v>
      </c>
      <c r="H16" s="270"/>
      <c r="I16" s="64">
        <f t="shared" si="3"/>
        <v>38</v>
      </c>
      <c r="J16" s="271">
        <v>77.14</v>
      </c>
      <c r="K16" s="64">
        <f t="shared" si="4"/>
        <v>45</v>
      </c>
      <c r="L16" s="271">
        <v>84.04</v>
      </c>
      <c r="M16" s="64">
        <f t="shared" si="5"/>
        <v>35</v>
      </c>
      <c r="N16" s="63">
        <v>93</v>
      </c>
      <c r="O16" s="64">
        <f t="shared" si="6"/>
        <v>10</v>
      </c>
      <c r="P16" s="272">
        <v>601</v>
      </c>
      <c r="Q16" s="64">
        <f t="shared" si="7"/>
        <v>15</v>
      </c>
      <c r="R16" s="272">
        <v>60444</v>
      </c>
      <c r="S16" s="204" t="s">
        <v>80</v>
      </c>
    </row>
    <row r="17" spans="1:19" ht="12" customHeight="1">
      <c r="A17" s="201" t="s">
        <v>18</v>
      </c>
      <c r="B17" s="202">
        <f t="shared" si="0"/>
        <v>42</v>
      </c>
      <c r="C17" s="63">
        <v>40</v>
      </c>
      <c r="D17" s="64">
        <f t="shared" si="1"/>
        <v>41</v>
      </c>
      <c r="E17" s="63">
        <v>17.2</v>
      </c>
      <c r="F17" s="64">
        <f t="shared" si="2"/>
        <v>33</v>
      </c>
      <c r="G17" s="63">
        <v>16.32251720747296</v>
      </c>
      <c r="H17" s="270"/>
      <c r="I17" s="64">
        <f t="shared" si="3"/>
        <v>20</v>
      </c>
      <c r="J17" s="271">
        <v>77.86</v>
      </c>
      <c r="K17" s="64">
        <f t="shared" si="4"/>
        <v>35</v>
      </c>
      <c r="L17" s="271">
        <v>84.47</v>
      </c>
      <c r="M17" s="64">
        <f t="shared" si="5"/>
        <v>8</v>
      </c>
      <c r="N17" s="63">
        <v>99.3</v>
      </c>
      <c r="O17" s="64">
        <f t="shared" si="6"/>
        <v>16</v>
      </c>
      <c r="P17" s="272">
        <v>438</v>
      </c>
      <c r="Q17" s="64">
        <f t="shared" si="7"/>
        <v>14</v>
      </c>
      <c r="R17" s="272">
        <v>60777</v>
      </c>
      <c r="S17" s="204" t="s">
        <v>81</v>
      </c>
    </row>
    <row r="18" spans="1:19" s="200" customFormat="1" ht="24" customHeight="1">
      <c r="A18" s="196" t="s">
        <v>19</v>
      </c>
      <c r="B18" s="197">
        <f t="shared" si="0"/>
        <v>7</v>
      </c>
      <c r="C18" s="61">
        <v>61.2</v>
      </c>
      <c r="D18" s="62">
        <f t="shared" si="1"/>
        <v>24</v>
      </c>
      <c r="E18" s="61">
        <v>21</v>
      </c>
      <c r="F18" s="62">
        <f t="shared" si="2"/>
        <v>43</v>
      </c>
      <c r="G18" s="61">
        <v>4.979371176554275</v>
      </c>
      <c r="H18" s="267"/>
      <c r="I18" s="62">
        <f t="shared" si="3"/>
        <v>10</v>
      </c>
      <c r="J18" s="268">
        <v>78.05</v>
      </c>
      <c r="K18" s="62">
        <f t="shared" si="4"/>
        <v>37</v>
      </c>
      <c r="L18" s="268">
        <v>84.34</v>
      </c>
      <c r="M18" s="62">
        <f t="shared" si="5"/>
        <v>7</v>
      </c>
      <c r="N18" s="61">
        <v>99.6</v>
      </c>
      <c r="O18" s="62">
        <f t="shared" si="6"/>
        <v>46</v>
      </c>
      <c r="P18" s="269">
        <v>58</v>
      </c>
      <c r="Q18" s="62">
        <f t="shared" si="7"/>
        <v>38</v>
      </c>
      <c r="R18" s="269">
        <v>15971</v>
      </c>
      <c r="S18" s="199" t="s">
        <v>82</v>
      </c>
    </row>
    <row r="19" spans="1:19" ht="12" customHeight="1">
      <c r="A19" s="201" t="s">
        <v>20</v>
      </c>
      <c r="B19" s="202">
        <f t="shared" si="0"/>
        <v>23</v>
      </c>
      <c r="C19" s="63">
        <v>51.6</v>
      </c>
      <c r="D19" s="64">
        <f t="shared" si="1"/>
        <v>18</v>
      </c>
      <c r="E19" s="63">
        <v>22.9</v>
      </c>
      <c r="F19" s="64">
        <f t="shared" si="2"/>
        <v>32</v>
      </c>
      <c r="G19" s="63">
        <v>16.53386454183267</v>
      </c>
      <c r="H19" s="270"/>
      <c r="I19" s="64">
        <f t="shared" si="3"/>
        <v>10</v>
      </c>
      <c r="J19" s="271">
        <v>78.05</v>
      </c>
      <c r="K19" s="64">
        <f t="shared" si="4"/>
        <v>32</v>
      </c>
      <c r="L19" s="271">
        <v>84.51</v>
      </c>
      <c r="M19" s="64">
        <f t="shared" si="5"/>
        <v>34</v>
      </c>
      <c r="N19" s="63">
        <v>93.2</v>
      </c>
      <c r="O19" s="64">
        <f t="shared" si="6"/>
        <v>38</v>
      </c>
      <c r="P19" s="272">
        <v>134</v>
      </c>
      <c r="Q19" s="64">
        <f t="shared" si="7"/>
        <v>41</v>
      </c>
      <c r="R19" s="272">
        <v>10986</v>
      </c>
      <c r="S19" s="204" t="s">
        <v>83</v>
      </c>
    </row>
    <row r="20" spans="1:19" ht="12" customHeight="1">
      <c r="A20" s="201" t="s">
        <v>21</v>
      </c>
      <c r="B20" s="202">
        <f t="shared" si="0"/>
        <v>2</v>
      </c>
      <c r="C20" s="63">
        <v>80.8</v>
      </c>
      <c r="D20" s="64">
        <f t="shared" si="1"/>
        <v>2</v>
      </c>
      <c r="E20" s="63">
        <v>32.7</v>
      </c>
      <c r="F20" s="64">
        <f t="shared" si="2"/>
        <v>29</v>
      </c>
      <c r="G20" s="63">
        <v>18.86271324126726</v>
      </c>
      <c r="H20" s="270"/>
      <c r="I20" s="64">
        <f t="shared" si="3"/>
        <v>15</v>
      </c>
      <c r="J20" s="271">
        <v>77.98</v>
      </c>
      <c r="K20" s="64">
        <f t="shared" si="4"/>
        <v>36</v>
      </c>
      <c r="L20" s="271">
        <v>84.38</v>
      </c>
      <c r="M20" s="64">
        <f t="shared" si="5"/>
        <v>1</v>
      </c>
      <c r="N20" s="63">
        <v>100</v>
      </c>
      <c r="O20" s="64">
        <f t="shared" si="6"/>
        <v>39</v>
      </c>
      <c r="P20" s="272">
        <v>126</v>
      </c>
      <c r="Q20" s="64">
        <f t="shared" si="7"/>
        <v>35</v>
      </c>
      <c r="R20" s="272">
        <v>19790</v>
      </c>
      <c r="S20" s="204" t="s">
        <v>84</v>
      </c>
    </row>
    <row r="21" spans="1:19" ht="12" customHeight="1">
      <c r="A21" s="201" t="s">
        <v>22</v>
      </c>
      <c r="B21" s="202">
        <f t="shared" si="0"/>
        <v>37</v>
      </c>
      <c r="C21" s="63">
        <v>43</v>
      </c>
      <c r="D21" s="64">
        <f t="shared" si="1"/>
        <v>38</v>
      </c>
      <c r="E21" s="63">
        <v>17.9</v>
      </c>
      <c r="F21" s="64">
        <f t="shared" si="2"/>
        <v>34</v>
      </c>
      <c r="G21" s="63">
        <v>15.402325313687118</v>
      </c>
      <c r="H21" s="270"/>
      <c r="I21" s="64">
        <f t="shared" si="3"/>
        <v>5</v>
      </c>
      <c r="J21" s="271">
        <v>78.24</v>
      </c>
      <c r="K21" s="64">
        <f t="shared" si="4"/>
        <v>23</v>
      </c>
      <c r="L21" s="271">
        <v>84.74</v>
      </c>
      <c r="M21" s="64">
        <f t="shared" si="5"/>
        <v>4</v>
      </c>
      <c r="N21" s="63">
        <v>99.8</v>
      </c>
      <c r="O21" s="64">
        <f t="shared" si="6"/>
        <v>12</v>
      </c>
      <c r="P21" s="272">
        <v>524</v>
      </c>
      <c r="Q21" s="64">
        <f t="shared" si="7"/>
        <v>21</v>
      </c>
      <c r="R21" s="272">
        <v>36899</v>
      </c>
      <c r="S21" s="204" t="s">
        <v>85</v>
      </c>
    </row>
    <row r="22" spans="1:19" ht="12" customHeight="1">
      <c r="A22" s="201" t="s">
        <v>23</v>
      </c>
      <c r="B22" s="202">
        <f t="shared" si="0"/>
        <v>40</v>
      </c>
      <c r="C22" s="63">
        <v>40.8</v>
      </c>
      <c r="D22" s="64">
        <f t="shared" si="1"/>
        <v>36</v>
      </c>
      <c r="E22" s="63">
        <v>18.8</v>
      </c>
      <c r="F22" s="64">
        <f t="shared" si="2"/>
        <v>20</v>
      </c>
      <c r="G22" s="63">
        <v>25.8130081300813</v>
      </c>
      <c r="H22" s="270"/>
      <c r="I22" s="64">
        <f t="shared" si="3"/>
        <v>25</v>
      </c>
      <c r="J22" s="271">
        <v>77.66</v>
      </c>
      <c r="K22" s="64">
        <f t="shared" si="4"/>
        <v>9</v>
      </c>
      <c r="L22" s="271">
        <v>85.19</v>
      </c>
      <c r="M22" s="64">
        <f t="shared" si="5"/>
        <v>17</v>
      </c>
      <c r="N22" s="63">
        <v>98.3</v>
      </c>
      <c r="O22" s="64">
        <f t="shared" si="6"/>
        <v>13</v>
      </c>
      <c r="P22" s="272">
        <v>501</v>
      </c>
      <c r="Q22" s="64">
        <f t="shared" si="7"/>
        <v>9</v>
      </c>
      <c r="R22" s="272">
        <v>84112</v>
      </c>
      <c r="S22" s="204" t="s">
        <v>86</v>
      </c>
    </row>
    <row r="23" spans="1:19" s="200" customFormat="1" ht="24" customHeight="1">
      <c r="A23" s="196" t="s">
        <v>24</v>
      </c>
      <c r="B23" s="197">
        <f t="shared" si="0"/>
        <v>20</v>
      </c>
      <c r="C23" s="61">
        <v>51.9</v>
      </c>
      <c r="D23" s="62">
        <f t="shared" si="1"/>
        <v>34</v>
      </c>
      <c r="E23" s="61">
        <v>19</v>
      </c>
      <c r="F23" s="62">
        <f t="shared" si="2"/>
        <v>18</v>
      </c>
      <c r="G23" s="61">
        <v>27.573858549686662</v>
      </c>
      <c r="H23" s="267"/>
      <c r="I23" s="62">
        <f t="shared" si="3"/>
        <v>12</v>
      </c>
      <c r="J23" s="268">
        <v>78.03</v>
      </c>
      <c r="K23" s="62">
        <f t="shared" si="4"/>
        <v>7</v>
      </c>
      <c r="L23" s="268">
        <v>85.24</v>
      </c>
      <c r="M23" s="62">
        <f t="shared" si="5"/>
        <v>36</v>
      </c>
      <c r="N23" s="61">
        <v>92.7</v>
      </c>
      <c r="O23" s="62">
        <f t="shared" si="6"/>
        <v>33</v>
      </c>
      <c r="P23" s="269">
        <v>173</v>
      </c>
      <c r="Q23" s="62">
        <f t="shared" si="7"/>
        <v>23</v>
      </c>
      <c r="R23" s="269">
        <v>30785</v>
      </c>
      <c r="S23" s="199" t="s">
        <v>87</v>
      </c>
    </row>
    <row r="24" spans="1:19" ht="12" customHeight="1">
      <c r="A24" s="201" t="s">
        <v>25</v>
      </c>
      <c r="B24" s="202">
        <f t="shared" si="0"/>
        <v>38</v>
      </c>
      <c r="C24" s="63">
        <v>42.8</v>
      </c>
      <c r="D24" s="64">
        <f t="shared" si="1"/>
        <v>26</v>
      </c>
      <c r="E24" s="63">
        <v>20.3</v>
      </c>
      <c r="F24" s="64">
        <f t="shared" si="2"/>
        <v>4</v>
      </c>
      <c r="G24" s="63">
        <v>63.983050847457626</v>
      </c>
      <c r="H24" s="270"/>
      <c r="I24" s="64">
        <f t="shared" si="3"/>
        <v>16</v>
      </c>
      <c r="J24" s="271">
        <v>77.96</v>
      </c>
      <c r="K24" s="64">
        <f t="shared" si="4"/>
        <v>10</v>
      </c>
      <c r="L24" s="271">
        <v>85.18</v>
      </c>
      <c r="M24" s="64">
        <f t="shared" si="5"/>
        <v>19</v>
      </c>
      <c r="N24" s="63">
        <v>98</v>
      </c>
      <c r="O24" s="64">
        <f t="shared" si="6"/>
        <v>24</v>
      </c>
      <c r="P24" s="272">
        <v>306</v>
      </c>
      <c r="Q24" s="64">
        <f t="shared" si="7"/>
        <v>22</v>
      </c>
      <c r="R24" s="272">
        <v>31716</v>
      </c>
      <c r="S24" s="204" t="s">
        <v>88</v>
      </c>
    </row>
    <row r="25" spans="1:19" ht="12" customHeight="1">
      <c r="A25" s="201" t="s">
        <v>26</v>
      </c>
      <c r="B25" s="202">
        <f t="shared" si="0"/>
        <v>34</v>
      </c>
      <c r="C25" s="63">
        <v>45.2</v>
      </c>
      <c r="D25" s="64">
        <f t="shared" si="1"/>
        <v>31</v>
      </c>
      <c r="E25" s="63">
        <v>19.1</v>
      </c>
      <c r="F25" s="64">
        <f t="shared" si="2"/>
        <v>41</v>
      </c>
      <c r="G25" s="63">
        <v>6.166868198307134</v>
      </c>
      <c r="H25" s="270"/>
      <c r="I25" s="64">
        <f t="shared" si="3"/>
        <v>2</v>
      </c>
      <c r="J25" s="271">
        <v>78.55</v>
      </c>
      <c r="K25" s="64">
        <f t="shared" si="4"/>
        <v>2</v>
      </c>
      <c r="L25" s="271">
        <v>85.39</v>
      </c>
      <c r="M25" s="64">
        <f t="shared" si="5"/>
        <v>30</v>
      </c>
      <c r="N25" s="63">
        <v>95.6</v>
      </c>
      <c r="O25" s="64">
        <f t="shared" si="6"/>
        <v>35</v>
      </c>
      <c r="P25" s="272">
        <v>153</v>
      </c>
      <c r="Q25" s="64">
        <f t="shared" si="7"/>
        <v>43</v>
      </c>
      <c r="R25" s="272">
        <v>8705</v>
      </c>
      <c r="S25" s="204" t="s">
        <v>78</v>
      </c>
    </row>
    <row r="26" spans="1:19" ht="12" customHeight="1">
      <c r="A26" s="201" t="s">
        <v>27</v>
      </c>
      <c r="B26" s="202">
        <f t="shared" si="0"/>
        <v>46</v>
      </c>
      <c r="C26" s="63">
        <v>32.5</v>
      </c>
      <c r="D26" s="64">
        <f t="shared" si="1"/>
        <v>46</v>
      </c>
      <c r="E26" s="63">
        <v>12.3</v>
      </c>
      <c r="F26" s="64">
        <f t="shared" si="2"/>
        <v>24</v>
      </c>
      <c r="G26" s="63">
        <v>20.856820744081173</v>
      </c>
      <c r="H26" s="270"/>
      <c r="I26" s="64">
        <f t="shared" si="3"/>
        <v>18</v>
      </c>
      <c r="J26" s="271">
        <v>77.9</v>
      </c>
      <c r="K26" s="64">
        <f t="shared" si="4"/>
        <v>8</v>
      </c>
      <c r="L26" s="271">
        <v>85.21</v>
      </c>
      <c r="M26" s="64">
        <f t="shared" si="5"/>
        <v>21</v>
      </c>
      <c r="N26" s="63">
        <v>97.2</v>
      </c>
      <c r="O26" s="64">
        <f t="shared" si="6"/>
        <v>17</v>
      </c>
      <c r="P26" s="272">
        <v>427</v>
      </c>
      <c r="Q26" s="64">
        <f t="shared" si="7"/>
        <v>13</v>
      </c>
      <c r="R26" s="272">
        <v>69345</v>
      </c>
      <c r="S26" s="204" t="s">
        <v>77</v>
      </c>
    </row>
    <row r="27" spans="1:19" ht="12" customHeight="1">
      <c r="A27" s="201" t="s">
        <v>28</v>
      </c>
      <c r="B27" s="202">
        <f t="shared" si="0"/>
        <v>44</v>
      </c>
      <c r="C27" s="63">
        <v>34.5</v>
      </c>
      <c r="D27" s="64">
        <f t="shared" si="1"/>
        <v>47</v>
      </c>
      <c r="E27" s="63">
        <v>11.9</v>
      </c>
      <c r="F27" s="64">
        <f t="shared" si="2"/>
        <v>16</v>
      </c>
      <c r="G27" s="63">
        <v>28.668171557562076</v>
      </c>
      <c r="H27" s="270"/>
      <c r="I27" s="64">
        <f t="shared" si="3"/>
        <v>1</v>
      </c>
      <c r="J27" s="271">
        <v>78.9</v>
      </c>
      <c r="K27" s="64">
        <f t="shared" si="4"/>
        <v>3</v>
      </c>
      <c r="L27" s="271">
        <v>85.31</v>
      </c>
      <c r="M27" s="64">
        <f t="shared" si="5"/>
        <v>12</v>
      </c>
      <c r="N27" s="63">
        <v>98.9</v>
      </c>
      <c r="O27" s="64">
        <f t="shared" si="6"/>
        <v>6</v>
      </c>
      <c r="P27" s="272">
        <v>1044</v>
      </c>
      <c r="Q27" s="64">
        <f t="shared" si="7"/>
        <v>6</v>
      </c>
      <c r="R27" s="272">
        <v>134622</v>
      </c>
      <c r="S27" s="204" t="s">
        <v>89</v>
      </c>
    </row>
    <row r="28" spans="1:19" s="200" customFormat="1" ht="24" customHeight="1">
      <c r="A28" s="196" t="s">
        <v>29</v>
      </c>
      <c r="B28" s="197">
        <f t="shared" si="0"/>
        <v>14</v>
      </c>
      <c r="C28" s="61">
        <v>56.3</v>
      </c>
      <c r="D28" s="62">
        <f t="shared" si="1"/>
        <v>6</v>
      </c>
      <c r="E28" s="61">
        <v>26.8</v>
      </c>
      <c r="F28" s="62">
        <f t="shared" si="2"/>
        <v>11</v>
      </c>
      <c r="G28" s="61">
        <v>36.85457129322596</v>
      </c>
      <c r="H28" s="267"/>
      <c r="I28" s="62">
        <f t="shared" si="3"/>
        <v>9</v>
      </c>
      <c r="J28" s="268">
        <v>78.1</v>
      </c>
      <c r="K28" s="62">
        <f t="shared" si="4"/>
        <v>39</v>
      </c>
      <c r="L28" s="268">
        <v>84.33</v>
      </c>
      <c r="M28" s="62">
        <f t="shared" si="5"/>
        <v>29</v>
      </c>
      <c r="N28" s="61">
        <v>95.7</v>
      </c>
      <c r="O28" s="62">
        <f t="shared" si="6"/>
        <v>15</v>
      </c>
      <c r="P28" s="269">
        <v>487</v>
      </c>
      <c r="Q28" s="62">
        <f t="shared" si="7"/>
        <v>12</v>
      </c>
      <c r="R28" s="269">
        <v>71976</v>
      </c>
      <c r="S28" s="199" t="s">
        <v>90</v>
      </c>
    </row>
    <row r="29" spans="1:19" ht="12" customHeight="1">
      <c r="A29" s="201" t="s">
        <v>30</v>
      </c>
      <c r="B29" s="202">
        <f t="shared" si="0"/>
        <v>29</v>
      </c>
      <c r="C29" s="63">
        <v>48.9</v>
      </c>
      <c r="D29" s="64">
        <f t="shared" si="1"/>
        <v>20</v>
      </c>
      <c r="E29" s="63">
        <v>22.5</v>
      </c>
      <c r="F29" s="64">
        <f t="shared" si="2"/>
        <v>39</v>
      </c>
      <c r="G29" s="63">
        <v>9.992090693382547</v>
      </c>
      <c r="H29" s="270"/>
      <c r="I29" s="64">
        <f t="shared" si="3"/>
        <v>7</v>
      </c>
      <c r="J29" s="271">
        <v>78.15</v>
      </c>
      <c r="K29" s="64">
        <f t="shared" si="4"/>
        <v>14</v>
      </c>
      <c r="L29" s="271">
        <v>84.95</v>
      </c>
      <c r="M29" s="64">
        <f t="shared" si="5"/>
        <v>15</v>
      </c>
      <c r="N29" s="63">
        <v>98.6</v>
      </c>
      <c r="O29" s="64">
        <f t="shared" si="6"/>
        <v>3</v>
      </c>
      <c r="P29" s="272">
        <v>2273</v>
      </c>
      <c r="Q29" s="64">
        <f t="shared" si="7"/>
        <v>7</v>
      </c>
      <c r="R29" s="272">
        <v>119810</v>
      </c>
      <c r="S29" s="204" t="s">
        <v>91</v>
      </c>
    </row>
    <row r="30" spans="1:19" ht="12" customHeight="1">
      <c r="A30" s="201" t="s">
        <v>31</v>
      </c>
      <c r="B30" s="202">
        <f t="shared" si="0"/>
        <v>26</v>
      </c>
      <c r="C30" s="63">
        <v>50.6</v>
      </c>
      <c r="D30" s="64">
        <f t="shared" si="1"/>
        <v>19</v>
      </c>
      <c r="E30" s="63">
        <v>22.8</v>
      </c>
      <c r="F30" s="64">
        <f t="shared" si="2"/>
        <v>35</v>
      </c>
      <c r="G30" s="63">
        <v>15.046102263202012</v>
      </c>
      <c r="H30" s="270"/>
      <c r="I30" s="64">
        <f t="shared" si="3"/>
        <v>13</v>
      </c>
      <c r="J30" s="271">
        <v>78.01</v>
      </c>
      <c r="K30" s="64">
        <f t="shared" si="4"/>
        <v>42</v>
      </c>
      <c r="L30" s="271">
        <v>84.22</v>
      </c>
      <c r="M30" s="64">
        <f t="shared" si="5"/>
        <v>4</v>
      </c>
      <c r="N30" s="63">
        <v>99.8</v>
      </c>
      <c r="O30" s="64">
        <f t="shared" si="6"/>
        <v>41</v>
      </c>
      <c r="P30" s="272">
        <v>114</v>
      </c>
      <c r="Q30" s="64">
        <f t="shared" si="7"/>
        <v>37</v>
      </c>
      <c r="R30" s="272">
        <v>18504</v>
      </c>
      <c r="S30" s="204" t="s">
        <v>92</v>
      </c>
    </row>
    <row r="31" spans="1:19" ht="12" customHeight="1">
      <c r="A31" s="201" t="s">
        <v>32</v>
      </c>
      <c r="B31" s="202">
        <f t="shared" si="0"/>
        <v>15</v>
      </c>
      <c r="C31" s="63">
        <v>55.6</v>
      </c>
      <c r="D31" s="64">
        <f t="shared" si="1"/>
        <v>22</v>
      </c>
      <c r="E31" s="63">
        <v>21.8</v>
      </c>
      <c r="F31" s="64">
        <f t="shared" si="2"/>
        <v>10</v>
      </c>
      <c r="G31" s="63">
        <v>38.131041890440386</v>
      </c>
      <c r="H31" s="270"/>
      <c r="I31" s="64">
        <f t="shared" si="3"/>
        <v>18</v>
      </c>
      <c r="J31" s="271">
        <v>77.9</v>
      </c>
      <c r="K31" s="64">
        <f t="shared" si="4"/>
        <v>33</v>
      </c>
      <c r="L31" s="271">
        <v>84.49</v>
      </c>
      <c r="M31" s="64">
        <f t="shared" si="5"/>
        <v>11</v>
      </c>
      <c r="N31" s="63">
        <v>99.1</v>
      </c>
      <c r="O31" s="64">
        <f t="shared" si="6"/>
        <v>27</v>
      </c>
      <c r="P31" s="272">
        <v>216</v>
      </c>
      <c r="Q31" s="64">
        <f t="shared" si="7"/>
        <v>18</v>
      </c>
      <c r="R31" s="272">
        <v>49674</v>
      </c>
      <c r="S31" s="204" t="s">
        <v>93</v>
      </c>
    </row>
    <row r="32" spans="1:19" ht="12" customHeight="1">
      <c r="A32" s="201" t="s">
        <v>33</v>
      </c>
      <c r="B32" s="202">
        <f t="shared" si="0"/>
        <v>22</v>
      </c>
      <c r="C32" s="63">
        <v>51.8</v>
      </c>
      <c r="D32" s="64">
        <f t="shared" si="1"/>
        <v>27</v>
      </c>
      <c r="E32" s="63">
        <v>20.1</v>
      </c>
      <c r="F32" s="64">
        <f t="shared" si="2"/>
        <v>31</v>
      </c>
      <c r="G32" s="63">
        <v>16.91068814055637</v>
      </c>
      <c r="H32" s="270"/>
      <c r="I32" s="64">
        <f t="shared" si="3"/>
        <v>6</v>
      </c>
      <c r="J32" s="271">
        <v>78.19</v>
      </c>
      <c r="K32" s="64">
        <f t="shared" si="4"/>
        <v>15</v>
      </c>
      <c r="L32" s="271">
        <v>84.92</v>
      </c>
      <c r="M32" s="64">
        <f t="shared" si="5"/>
        <v>10</v>
      </c>
      <c r="N32" s="63">
        <v>99.2</v>
      </c>
      <c r="O32" s="64">
        <f t="shared" si="6"/>
        <v>44</v>
      </c>
      <c r="P32" s="272">
        <v>76</v>
      </c>
      <c r="Q32" s="64">
        <f t="shared" si="7"/>
        <v>44</v>
      </c>
      <c r="R32" s="272">
        <v>8685</v>
      </c>
      <c r="S32" s="204" t="s">
        <v>94</v>
      </c>
    </row>
    <row r="33" spans="1:19" s="200" customFormat="1" ht="24" customHeight="1">
      <c r="A33" s="196" t="s">
        <v>34</v>
      </c>
      <c r="B33" s="197">
        <f t="shared" si="0"/>
        <v>31</v>
      </c>
      <c r="C33" s="61">
        <v>47.8</v>
      </c>
      <c r="D33" s="62">
        <f t="shared" si="1"/>
        <v>9</v>
      </c>
      <c r="E33" s="61">
        <v>25.1</v>
      </c>
      <c r="F33" s="62">
        <f t="shared" si="2"/>
        <v>13</v>
      </c>
      <c r="G33" s="61">
        <v>30.859522907989398</v>
      </c>
      <c r="H33" s="267"/>
      <c r="I33" s="62">
        <f t="shared" si="3"/>
        <v>7</v>
      </c>
      <c r="J33" s="268">
        <v>78.15</v>
      </c>
      <c r="K33" s="62">
        <f t="shared" si="4"/>
        <v>19</v>
      </c>
      <c r="L33" s="268">
        <v>84.81</v>
      </c>
      <c r="M33" s="62">
        <f t="shared" si="5"/>
        <v>8</v>
      </c>
      <c r="N33" s="61">
        <v>99.3</v>
      </c>
      <c r="O33" s="62">
        <f t="shared" si="6"/>
        <v>39</v>
      </c>
      <c r="P33" s="269">
        <v>126</v>
      </c>
      <c r="Q33" s="62">
        <f t="shared" si="7"/>
        <v>39</v>
      </c>
      <c r="R33" s="269">
        <v>12836</v>
      </c>
      <c r="S33" s="199" t="s">
        <v>95</v>
      </c>
    </row>
    <row r="34" spans="1:19" ht="12" customHeight="1">
      <c r="A34" s="201" t="s">
        <v>35</v>
      </c>
      <c r="B34" s="202">
        <f t="shared" si="0"/>
        <v>1</v>
      </c>
      <c r="C34" s="63">
        <v>90.1</v>
      </c>
      <c r="D34" s="64">
        <f t="shared" si="1"/>
        <v>1</v>
      </c>
      <c r="E34" s="63">
        <v>33.8</v>
      </c>
      <c r="F34" s="64">
        <f t="shared" si="2"/>
        <v>30</v>
      </c>
      <c r="G34" s="63">
        <v>18.704627949183305</v>
      </c>
      <c r="H34" s="270"/>
      <c r="I34" s="64">
        <f t="shared" si="3"/>
        <v>43</v>
      </c>
      <c r="J34" s="271">
        <v>76.97</v>
      </c>
      <c r="K34" s="64">
        <f t="shared" si="4"/>
        <v>46</v>
      </c>
      <c r="L34" s="271">
        <v>84.01</v>
      </c>
      <c r="M34" s="64">
        <f t="shared" si="5"/>
        <v>3</v>
      </c>
      <c r="N34" s="63">
        <v>99.9</v>
      </c>
      <c r="O34" s="64">
        <f t="shared" si="6"/>
        <v>36</v>
      </c>
      <c r="P34" s="272">
        <v>148</v>
      </c>
      <c r="Q34" s="64">
        <f t="shared" si="7"/>
        <v>24</v>
      </c>
      <c r="R34" s="272">
        <v>30733</v>
      </c>
      <c r="S34" s="204" t="s">
        <v>96</v>
      </c>
    </row>
    <row r="35" spans="1:19" ht="12" customHeight="1">
      <c r="A35" s="201" t="s">
        <v>36</v>
      </c>
      <c r="B35" s="202">
        <f t="shared" si="0"/>
        <v>6</v>
      </c>
      <c r="C35" s="63">
        <v>66.6</v>
      </c>
      <c r="D35" s="64">
        <f t="shared" si="1"/>
        <v>4</v>
      </c>
      <c r="E35" s="63">
        <v>29.8</v>
      </c>
      <c r="F35" s="64">
        <f t="shared" si="2"/>
        <v>36</v>
      </c>
      <c r="G35" s="63">
        <v>14.9686660698299</v>
      </c>
      <c r="H35" s="270"/>
      <c r="I35" s="64">
        <f t="shared" si="3"/>
        <v>27</v>
      </c>
      <c r="J35" s="271">
        <v>77.57</v>
      </c>
      <c r="K35" s="64">
        <f t="shared" si="4"/>
        <v>37</v>
      </c>
      <c r="L35" s="271">
        <v>84.34</v>
      </c>
      <c r="M35" s="64">
        <f t="shared" si="5"/>
        <v>6</v>
      </c>
      <c r="N35" s="63">
        <v>99.7</v>
      </c>
      <c r="O35" s="64">
        <f t="shared" si="6"/>
        <v>18</v>
      </c>
      <c r="P35" s="272">
        <v>414</v>
      </c>
      <c r="Q35" s="64">
        <f t="shared" si="7"/>
        <v>19</v>
      </c>
      <c r="R35" s="272">
        <v>47202</v>
      </c>
      <c r="S35" s="204" t="s">
        <v>97</v>
      </c>
    </row>
    <row r="36" spans="1:19" ht="12" customHeight="1">
      <c r="A36" s="201" t="s">
        <v>37</v>
      </c>
      <c r="B36" s="202">
        <f t="shared" si="0"/>
        <v>20</v>
      </c>
      <c r="C36" s="63">
        <v>51.9</v>
      </c>
      <c r="D36" s="64">
        <f t="shared" si="1"/>
        <v>8</v>
      </c>
      <c r="E36" s="63">
        <v>26.4</v>
      </c>
      <c r="F36" s="64">
        <f t="shared" si="2"/>
        <v>26</v>
      </c>
      <c r="G36" s="63">
        <v>20.264623955431755</v>
      </c>
      <c r="H36" s="270"/>
      <c r="I36" s="64">
        <f t="shared" si="3"/>
        <v>3</v>
      </c>
      <c r="J36" s="271">
        <v>78.36</v>
      </c>
      <c r="K36" s="64">
        <f t="shared" si="4"/>
        <v>21</v>
      </c>
      <c r="L36" s="271">
        <v>84.8</v>
      </c>
      <c r="M36" s="64">
        <f t="shared" si="5"/>
        <v>13</v>
      </c>
      <c r="N36" s="63">
        <v>98.7</v>
      </c>
      <c r="O36" s="64">
        <f t="shared" si="6"/>
        <v>43</v>
      </c>
      <c r="P36" s="272">
        <v>90</v>
      </c>
      <c r="Q36" s="64">
        <f t="shared" si="7"/>
        <v>40</v>
      </c>
      <c r="R36" s="272">
        <v>12039</v>
      </c>
      <c r="S36" s="204" t="s">
        <v>98</v>
      </c>
    </row>
    <row r="37" spans="1:19" ht="12" customHeight="1">
      <c r="A37" s="201" t="s">
        <v>38</v>
      </c>
      <c r="B37" s="202">
        <f t="shared" si="0"/>
        <v>5</v>
      </c>
      <c r="C37" s="63">
        <v>67.4</v>
      </c>
      <c r="D37" s="64">
        <f t="shared" si="1"/>
        <v>7</v>
      </c>
      <c r="E37" s="63">
        <v>26.5</v>
      </c>
      <c r="F37" s="64">
        <f t="shared" si="2"/>
        <v>6</v>
      </c>
      <c r="G37" s="63">
        <v>45.17045454545455</v>
      </c>
      <c r="H37" s="270"/>
      <c r="I37" s="64">
        <f t="shared" si="3"/>
        <v>41</v>
      </c>
      <c r="J37" s="271">
        <v>77.01</v>
      </c>
      <c r="K37" s="64">
        <f t="shared" si="4"/>
        <v>41</v>
      </c>
      <c r="L37" s="271">
        <v>84.23</v>
      </c>
      <c r="M37" s="64">
        <f t="shared" si="5"/>
        <v>26</v>
      </c>
      <c r="N37" s="63">
        <v>96.5</v>
      </c>
      <c r="O37" s="64">
        <f t="shared" si="6"/>
        <v>14</v>
      </c>
      <c r="P37" s="272">
        <v>488</v>
      </c>
      <c r="Q37" s="64">
        <f t="shared" si="7"/>
        <v>16</v>
      </c>
      <c r="R37" s="272">
        <v>59935</v>
      </c>
      <c r="S37" s="204" t="s">
        <v>99</v>
      </c>
    </row>
    <row r="38" spans="1:19" s="200" customFormat="1" ht="24" customHeight="1">
      <c r="A38" s="196" t="s">
        <v>39</v>
      </c>
      <c r="B38" s="197">
        <f t="shared" si="0"/>
        <v>24</v>
      </c>
      <c r="C38" s="61">
        <v>51.1</v>
      </c>
      <c r="D38" s="62">
        <f t="shared" si="1"/>
        <v>30</v>
      </c>
      <c r="E38" s="61">
        <v>19.2</v>
      </c>
      <c r="F38" s="62">
        <f t="shared" si="2"/>
        <v>45</v>
      </c>
      <c r="G38" s="61">
        <v>4.746317512274959</v>
      </c>
      <c r="H38" s="267"/>
      <c r="I38" s="62">
        <f t="shared" si="3"/>
        <v>31</v>
      </c>
      <c r="J38" s="268">
        <v>77.39</v>
      </c>
      <c r="K38" s="62">
        <f t="shared" si="4"/>
        <v>16</v>
      </c>
      <c r="L38" s="268">
        <v>84.91</v>
      </c>
      <c r="M38" s="62">
        <f t="shared" si="5"/>
        <v>23</v>
      </c>
      <c r="N38" s="61">
        <v>97</v>
      </c>
      <c r="O38" s="62">
        <f t="shared" si="6"/>
        <v>23</v>
      </c>
      <c r="P38" s="269">
        <v>324</v>
      </c>
      <c r="Q38" s="62">
        <f t="shared" si="7"/>
        <v>34</v>
      </c>
      <c r="R38" s="269">
        <v>20239</v>
      </c>
      <c r="S38" s="199" t="s">
        <v>100</v>
      </c>
    </row>
    <row r="39" spans="1:19" ht="12" customHeight="1">
      <c r="A39" s="201" t="s">
        <v>40</v>
      </c>
      <c r="B39" s="202">
        <f t="shared" si="0"/>
        <v>36</v>
      </c>
      <c r="C39" s="63">
        <v>43.4</v>
      </c>
      <c r="D39" s="64">
        <f t="shared" si="1"/>
        <v>28</v>
      </c>
      <c r="E39" s="63">
        <v>19.9</v>
      </c>
      <c r="F39" s="64">
        <f t="shared" si="2"/>
        <v>1</v>
      </c>
      <c r="G39" s="63">
        <v>125.63081009296148</v>
      </c>
      <c r="H39" s="270"/>
      <c r="I39" s="64">
        <f t="shared" si="3"/>
        <v>29</v>
      </c>
      <c r="J39" s="271">
        <v>77.54</v>
      </c>
      <c r="K39" s="64">
        <f t="shared" si="4"/>
        <v>4</v>
      </c>
      <c r="L39" s="271">
        <v>85.3</v>
      </c>
      <c r="M39" s="64">
        <f t="shared" si="5"/>
        <v>31</v>
      </c>
      <c r="N39" s="63">
        <v>95.1</v>
      </c>
      <c r="O39" s="64">
        <f t="shared" si="6"/>
        <v>26</v>
      </c>
      <c r="P39" s="272">
        <v>277</v>
      </c>
      <c r="Q39" s="64">
        <f t="shared" si="7"/>
        <v>26</v>
      </c>
      <c r="R39" s="272">
        <v>27375</v>
      </c>
      <c r="S39" s="204" t="s">
        <v>101</v>
      </c>
    </row>
    <row r="40" spans="1:19" ht="12" customHeight="1">
      <c r="A40" s="201" t="s">
        <v>41</v>
      </c>
      <c r="B40" s="202">
        <f t="shared" si="0"/>
        <v>27</v>
      </c>
      <c r="C40" s="63">
        <v>50.5</v>
      </c>
      <c r="D40" s="64">
        <f t="shared" si="1"/>
        <v>31</v>
      </c>
      <c r="E40" s="63">
        <v>19.1</v>
      </c>
      <c r="F40" s="64">
        <f t="shared" si="2"/>
        <v>21</v>
      </c>
      <c r="G40" s="63">
        <v>25.60163850486431</v>
      </c>
      <c r="H40" s="270"/>
      <c r="I40" s="64">
        <f t="shared" si="3"/>
        <v>21</v>
      </c>
      <c r="J40" s="271">
        <v>77.8</v>
      </c>
      <c r="K40" s="64">
        <f t="shared" si="4"/>
        <v>6</v>
      </c>
      <c r="L40" s="271">
        <v>85.25</v>
      </c>
      <c r="M40" s="64">
        <f t="shared" si="5"/>
        <v>19</v>
      </c>
      <c r="N40" s="63">
        <v>98</v>
      </c>
      <c r="O40" s="64">
        <f t="shared" si="6"/>
        <v>28</v>
      </c>
      <c r="P40" s="272">
        <v>205</v>
      </c>
      <c r="Q40" s="64">
        <f t="shared" si="7"/>
        <v>31</v>
      </c>
      <c r="R40" s="272">
        <v>20984</v>
      </c>
      <c r="S40" s="204" t="s">
        <v>102</v>
      </c>
    </row>
    <row r="41" spans="1:19" ht="12" customHeight="1">
      <c r="A41" s="201" t="s">
        <v>42</v>
      </c>
      <c r="B41" s="202">
        <f t="shared" si="0"/>
        <v>32</v>
      </c>
      <c r="C41" s="63">
        <v>47.6</v>
      </c>
      <c r="D41" s="64">
        <f t="shared" si="1"/>
        <v>29</v>
      </c>
      <c r="E41" s="63">
        <v>19.8</v>
      </c>
      <c r="F41" s="64">
        <f t="shared" si="2"/>
        <v>3</v>
      </c>
      <c r="G41" s="63">
        <v>71.95969423210563</v>
      </c>
      <c r="H41" s="270"/>
      <c r="I41" s="64">
        <f t="shared" si="3"/>
        <v>22</v>
      </c>
      <c r="J41" s="271">
        <v>77.76</v>
      </c>
      <c r="K41" s="64">
        <f t="shared" si="4"/>
        <v>11</v>
      </c>
      <c r="L41" s="271">
        <v>85.09</v>
      </c>
      <c r="M41" s="64">
        <f t="shared" si="5"/>
        <v>38</v>
      </c>
      <c r="N41" s="63">
        <v>92.3</v>
      </c>
      <c r="O41" s="64">
        <f t="shared" si="6"/>
        <v>25</v>
      </c>
      <c r="P41" s="272">
        <v>300</v>
      </c>
      <c r="Q41" s="64">
        <f t="shared" si="7"/>
        <v>27</v>
      </c>
      <c r="R41" s="272">
        <v>26143</v>
      </c>
      <c r="S41" s="204" t="s">
        <v>103</v>
      </c>
    </row>
    <row r="42" spans="1:19" ht="12" customHeight="1">
      <c r="A42" s="201" t="s">
        <v>43</v>
      </c>
      <c r="B42" s="202">
        <f t="shared" si="0"/>
        <v>13</v>
      </c>
      <c r="C42" s="63">
        <v>57.7</v>
      </c>
      <c r="D42" s="64">
        <f t="shared" si="1"/>
        <v>14</v>
      </c>
      <c r="E42" s="63">
        <v>24.3</v>
      </c>
      <c r="F42" s="64">
        <f t="shared" si="2"/>
        <v>8</v>
      </c>
      <c r="G42" s="63">
        <v>39.55026455026455</v>
      </c>
      <c r="H42" s="270"/>
      <c r="I42" s="64">
        <f t="shared" si="3"/>
        <v>40</v>
      </c>
      <c r="J42" s="271">
        <v>77.03</v>
      </c>
      <c r="K42" s="64">
        <f t="shared" si="4"/>
        <v>28</v>
      </c>
      <c r="L42" s="271">
        <v>84.61</v>
      </c>
      <c r="M42" s="64">
        <f t="shared" si="5"/>
        <v>39</v>
      </c>
      <c r="N42" s="63">
        <v>91.9</v>
      </c>
      <c r="O42" s="64">
        <f t="shared" si="6"/>
        <v>22</v>
      </c>
      <c r="P42" s="272">
        <v>365</v>
      </c>
      <c r="Q42" s="64">
        <f t="shared" si="7"/>
        <v>29</v>
      </c>
      <c r="R42" s="272">
        <v>23478</v>
      </c>
      <c r="S42" s="204" t="s">
        <v>77</v>
      </c>
    </row>
    <row r="43" spans="1:19" s="200" customFormat="1" ht="24" customHeight="1">
      <c r="A43" s="196" t="s">
        <v>44</v>
      </c>
      <c r="B43" s="197">
        <f t="shared" si="0"/>
        <v>9</v>
      </c>
      <c r="C43" s="61">
        <v>58</v>
      </c>
      <c r="D43" s="62">
        <f t="shared" si="1"/>
        <v>9</v>
      </c>
      <c r="E43" s="61">
        <v>25.1</v>
      </c>
      <c r="F43" s="62">
        <f t="shared" si="2"/>
        <v>38</v>
      </c>
      <c r="G43" s="61">
        <v>13.219094247246023</v>
      </c>
      <c r="H43" s="267"/>
      <c r="I43" s="62">
        <f t="shared" si="3"/>
        <v>36</v>
      </c>
      <c r="J43" s="268">
        <v>77.19</v>
      </c>
      <c r="K43" s="62">
        <f t="shared" si="4"/>
        <v>33</v>
      </c>
      <c r="L43" s="268">
        <v>84.49</v>
      </c>
      <c r="M43" s="62">
        <f t="shared" si="5"/>
        <v>33</v>
      </c>
      <c r="N43" s="61">
        <v>93.4</v>
      </c>
      <c r="O43" s="62">
        <f t="shared" si="6"/>
        <v>45</v>
      </c>
      <c r="P43" s="269">
        <v>70</v>
      </c>
      <c r="Q43" s="62">
        <f t="shared" si="7"/>
        <v>45</v>
      </c>
      <c r="R43" s="269">
        <v>4116</v>
      </c>
      <c r="S43" s="199" t="s">
        <v>104</v>
      </c>
    </row>
    <row r="44" spans="1:19" ht="12" customHeight="1">
      <c r="A44" s="201" t="s">
        <v>45</v>
      </c>
      <c r="B44" s="202">
        <f t="shared" si="0"/>
        <v>25</v>
      </c>
      <c r="C44" s="63">
        <v>50.8</v>
      </c>
      <c r="D44" s="64">
        <f t="shared" si="1"/>
        <v>9</v>
      </c>
      <c r="E44" s="63">
        <v>25.1</v>
      </c>
      <c r="F44" s="64">
        <f t="shared" si="2"/>
        <v>42</v>
      </c>
      <c r="G44" s="63">
        <v>5.490196078431373</v>
      </c>
      <c r="H44" s="270"/>
      <c r="I44" s="64">
        <f t="shared" si="3"/>
        <v>14</v>
      </c>
      <c r="J44" s="271">
        <v>77.99</v>
      </c>
      <c r="K44" s="64">
        <f t="shared" si="4"/>
        <v>17</v>
      </c>
      <c r="L44" s="271">
        <v>84.85</v>
      </c>
      <c r="M44" s="64">
        <f t="shared" si="5"/>
        <v>13</v>
      </c>
      <c r="N44" s="63">
        <v>98.7</v>
      </c>
      <c r="O44" s="64">
        <f t="shared" si="6"/>
        <v>32</v>
      </c>
      <c r="P44" s="272">
        <v>176</v>
      </c>
      <c r="Q44" s="64">
        <f t="shared" si="7"/>
        <v>42</v>
      </c>
      <c r="R44" s="272">
        <v>10536</v>
      </c>
      <c r="S44" s="204" t="s">
        <v>105</v>
      </c>
    </row>
    <row r="45" spans="1:19" ht="12" customHeight="1">
      <c r="A45" s="201" t="s">
        <v>186</v>
      </c>
      <c r="B45" s="202">
        <f t="shared" si="0"/>
        <v>33</v>
      </c>
      <c r="C45" s="63">
        <v>46.5</v>
      </c>
      <c r="D45" s="64">
        <f t="shared" si="1"/>
        <v>31</v>
      </c>
      <c r="E45" s="63">
        <v>19.1</v>
      </c>
      <c r="F45" s="64">
        <f t="shared" si="2"/>
        <v>7</v>
      </c>
      <c r="G45" s="63">
        <v>44.841537424140256</v>
      </c>
      <c r="H45" s="270"/>
      <c r="I45" s="64">
        <f t="shared" si="3"/>
        <v>32</v>
      </c>
      <c r="J45" s="271">
        <v>77.3</v>
      </c>
      <c r="K45" s="64">
        <f t="shared" si="4"/>
        <v>30</v>
      </c>
      <c r="L45" s="271">
        <v>84.57</v>
      </c>
      <c r="M45" s="64">
        <f t="shared" si="5"/>
        <v>37</v>
      </c>
      <c r="N45" s="63">
        <v>92.6</v>
      </c>
      <c r="O45" s="64">
        <f t="shared" si="6"/>
        <v>29</v>
      </c>
      <c r="P45" s="272">
        <v>198</v>
      </c>
      <c r="Q45" s="64">
        <f t="shared" si="7"/>
        <v>32</v>
      </c>
      <c r="R45" s="272">
        <v>20893</v>
      </c>
      <c r="S45" s="204" t="s">
        <v>92</v>
      </c>
    </row>
    <row r="46" spans="1:19" ht="12" customHeight="1">
      <c r="A46" s="201" t="s">
        <v>46</v>
      </c>
      <c r="B46" s="202">
        <f t="shared" si="0"/>
        <v>10</v>
      </c>
      <c r="C46" s="63">
        <v>57.9</v>
      </c>
      <c r="D46" s="64">
        <f t="shared" si="1"/>
        <v>15</v>
      </c>
      <c r="E46" s="63">
        <v>23.9</v>
      </c>
      <c r="F46" s="64">
        <f t="shared" si="2"/>
        <v>44</v>
      </c>
      <c r="G46" s="63">
        <v>4.956629491945477</v>
      </c>
      <c r="H46" s="270"/>
      <c r="I46" s="64">
        <f t="shared" si="3"/>
        <v>45</v>
      </c>
      <c r="J46" s="271">
        <v>76.85</v>
      </c>
      <c r="K46" s="64">
        <f t="shared" si="4"/>
        <v>22</v>
      </c>
      <c r="L46" s="271">
        <v>84.76</v>
      </c>
      <c r="M46" s="64">
        <f t="shared" si="5"/>
        <v>41</v>
      </c>
      <c r="N46" s="63">
        <v>91.4</v>
      </c>
      <c r="O46" s="64">
        <f t="shared" si="6"/>
        <v>42</v>
      </c>
      <c r="P46" s="272">
        <v>92</v>
      </c>
      <c r="Q46" s="64">
        <f t="shared" si="7"/>
        <v>46</v>
      </c>
      <c r="R46" s="272">
        <v>3473</v>
      </c>
      <c r="S46" s="204" t="s">
        <v>106</v>
      </c>
    </row>
    <row r="47" spans="1:19" ht="12" customHeight="1">
      <c r="A47" s="201" t="s">
        <v>47</v>
      </c>
      <c r="B47" s="202">
        <f t="shared" si="0"/>
        <v>4</v>
      </c>
      <c r="C47" s="63">
        <v>75.2</v>
      </c>
      <c r="D47" s="64">
        <f t="shared" si="1"/>
        <v>4</v>
      </c>
      <c r="E47" s="63">
        <v>29.8</v>
      </c>
      <c r="F47" s="64">
        <f t="shared" si="2"/>
        <v>25</v>
      </c>
      <c r="G47" s="63">
        <v>20.411799643634925</v>
      </c>
      <c r="H47" s="270"/>
      <c r="I47" s="64">
        <f t="shared" si="3"/>
        <v>33</v>
      </c>
      <c r="J47" s="271">
        <v>77.21</v>
      </c>
      <c r="K47" s="64">
        <f t="shared" si="4"/>
        <v>27</v>
      </c>
      <c r="L47" s="271">
        <v>84.62</v>
      </c>
      <c r="M47" s="64">
        <f t="shared" si="5"/>
        <v>40</v>
      </c>
      <c r="N47" s="63">
        <v>91.8</v>
      </c>
      <c r="O47" s="64">
        <f t="shared" si="6"/>
        <v>20</v>
      </c>
      <c r="P47" s="272">
        <v>376</v>
      </c>
      <c r="Q47" s="64">
        <f t="shared" si="7"/>
        <v>25</v>
      </c>
      <c r="R47" s="272">
        <v>30234</v>
      </c>
      <c r="S47" s="204" t="s">
        <v>78</v>
      </c>
    </row>
    <row r="48" spans="1:19" s="200" customFormat="1" ht="24" customHeight="1">
      <c r="A48" s="196" t="s">
        <v>48</v>
      </c>
      <c r="B48" s="197">
        <f t="shared" si="0"/>
        <v>19</v>
      </c>
      <c r="C48" s="61">
        <v>52.1</v>
      </c>
      <c r="D48" s="62">
        <f t="shared" si="1"/>
        <v>20</v>
      </c>
      <c r="E48" s="61">
        <v>22.5</v>
      </c>
      <c r="F48" s="62">
        <f t="shared" si="2"/>
        <v>47</v>
      </c>
      <c r="G48" s="61">
        <v>2.522935779816514</v>
      </c>
      <c r="H48" s="267"/>
      <c r="I48" s="62">
        <f t="shared" si="3"/>
        <v>44</v>
      </c>
      <c r="J48" s="268">
        <v>76.95</v>
      </c>
      <c r="K48" s="62">
        <f t="shared" si="4"/>
        <v>13</v>
      </c>
      <c r="L48" s="268">
        <v>85.07</v>
      </c>
      <c r="M48" s="62">
        <f t="shared" si="5"/>
        <v>32</v>
      </c>
      <c r="N48" s="61">
        <v>93.7</v>
      </c>
      <c r="O48" s="62">
        <f t="shared" si="6"/>
        <v>34</v>
      </c>
      <c r="P48" s="269">
        <v>169</v>
      </c>
      <c r="Q48" s="62">
        <f t="shared" si="7"/>
        <v>30</v>
      </c>
      <c r="R48" s="269">
        <v>21545</v>
      </c>
      <c r="S48" s="199" t="s">
        <v>107</v>
      </c>
    </row>
    <row r="49" spans="1:19" ht="12" customHeight="1">
      <c r="A49" s="201" t="s">
        <v>49</v>
      </c>
      <c r="B49" s="202">
        <f t="shared" si="0"/>
        <v>3</v>
      </c>
      <c r="C49" s="63">
        <v>75.9</v>
      </c>
      <c r="D49" s="64">
        <f t="shared" si="1"/>
        <v>3</v>
      </c>
      <c r="E49" s="63">
        <v>29.9</v>
      </c>
      <c r="F49" s="64">
        <f t="shared" si="2"/>
        <v>2</v>
      </c>
      <c r="G49" s="63">
        <v>91.40572951365756</v>
      </c>
      <c r="H49" s="270"/>
      <c r="I49" s="64">
        <f t="shared" si="3"/>
        <v>33</v>
      </c>
      <c r="J49" s="271">
        <v>77.21</v>
      </c>
      <c r="K49" s="64">
        <f t="shared" si="4"/>
        <v>19</v>
      </c>
      <c r="L49" s="271">
        <v>84.81</v>
      </c>
      <c r="M49" s="64">
        <f t="shared" si="5"/>
        <v>18</v>
      </c>
      <c r="N49" s="63">
        <v>98.1</v>
      </c>
      <c r="O49" s="64">
        <f t="shared" si="6"/>
        <v>30</v>
      </c>
      <c r="P49" s="272">
        <v>192</v>
      </c>
      <c r="Q49" s="64">
        <f t="shared" si="7"/>
        <v>28</v>
      </c>
      <c r="R49" s="272">
        <v>24804</v>
      </c>
      <c r="S49" s="204" t="s">
        <v>89</v>
      </c>
    </row>
    <row r="50" spans="1:19" ht="12" customHeight="1">
      <c r="A50" s="201" t="s">
        <v>50</v>
      </c>
      <c r="B50" s="202">
        <f t="shared" si="0"/>
        <v>28</v>
      </c>
      <c r="C50" s="63">
        <v>49.5</v>
      </c>
      <c r="D50" s="64">
        <f t="shared" si="1"/>
        <v>23</v>
      </c>
      <c r="E50" s="63">
        <v>21.4</v>
      </c>
      <c r="F50" s="64">
        <f t="shared" si="2"/>
        <v>28</v>
      </c>
      <c r="G50" s="63">
        <v>19.299191374663074</v>
      </c>
      <c r="H50" s="270"/>
      <c r="I50" s="64">
        <f t="shared" si="3"/>
        <v>4</v>
      </c>
      <c r="J50" s="271">
        <v>78.29</v>
      </c>
      <c r="K50" s="64">
        <f t="shared" si="4"/>
        <v>4</v>
      </c>
      <c r="L50" s="271">
        <v>85.3</v>
      </c>
      <c r="M50" s="64">
        <f t="shared" si="5"/>
        <v>47</v>
      </c>
      <c r="N50" s="63">
        <v>84.3</v>
      </c>
      <c r="O50" s="64">
        <f t="shared" si="6"/>
        <v>5</v>
      </c>
      <c r="P50" s="272">
        <v>1392</v>
      </c>
      <c r="Q50" s="64">
        <f t="shared" si="7"/>
        <v>4</v>
      </c>
      <c r="R50" s="272">
        <v>149595</v>
      </c>
      <c r="S50" s="204" t="s">
        <v>108</v>
      </c>
    </row>
    <row r="51" spans="1:19" ht="12" customHeight="1">
      <c r="A51" s="192" t="s">
        <v>51</v>
      </c>
      <c r="B51" s="223">
        <f t="shared" si="0"/>
        <v>18</v>
      </c>
      <c r="C51" s="65">
        <v>53.7</v>
      </c>
      <c r="D51" s="66">
        <f t="shared" si="1"/>
        <v>17</v>
      </c>
      <c r="E51" s="65">
        <v>23.1</v>
      </c>
      <c r="F51" s="64">
        <f t="shared" si="2"/>
        <v>22</v>
      </c>
      <c r="G51" s="65">
        <v>24.05582922824302</v>
      </c>
      <c r="H51" s="273"/>
      <c r="I51" s="66">
        <f t="shared" si="3"/>
        <v>17</v>
      </c>
      <c r="J51" s="274">
        <v>77.91</v>
      </c>
      <c r="K51" s="66">
        <f t="shared" si="4"/>
        <v>25</v>
      </c>
      <c r="L51" s="274">
        <v>84.69</v>
      </c>
      <c r="M51" s="66">
        <f t="shared" si="5"/>
        <v>45</v>
      </c>
      <c r="N51" s="65">
        <v>88.8</v>
      </c>
      <c r="O51" s="66">
        <f t="shared" si="6"/>
        <v>1</v>
      </c>
      <c r="P51" s="275">
        <v>4974</v>
      </c>
      <c r="Q51" s="66">
        <f t="shared" si="7"/>
        <v>1</v>
      </c>
      <c r="R51" s="275">
        <v>267434</v>
      </c>
      <c r="S51" s="206" t="s">
        <v>96</v>
      </c>
    </row>
    <row r="52" spans="1:19" ht="12" customHeight="1">
      <c r="A52" s="201" t="s">
        <v>52</v>
      </c>
      <c r="B52" s="202">
        <f t="shared" si="0"/>
        <v>8</v>
      </c>
      <c r="C52" s="63">
        <v>59.6</v>
      </c>
      <c r="D52" s="64">
        <f t="shared" si="1"/>
        <v>34</v>
      </c>
      <c r="E52" s="63">
        <v>19</v>
      </c>
      <c r="F52" s="64">
        <f t="shared" si="2"/>
        <v>15</v>
      </c>
      <c r="G52" s="63">
        <v>28.8659793814433</v>
      </c>
      <c r="H52" s="270"/>
      <c r="I52" s="64">
        <f t="shared" si="3"/>
        <v>30</v>
      </c>
      <c r="J52" s="271">
        <v>77.42</v>
      </c>
      <c r="K52" s="64">
        <f t="shared" si="4"/>
        <v>11</v>
      </c>
      <c r="L52" s="271">
        <v>85.09</v>
      </c>
      <c r="M52" s="64">
        <f t="shared" si="5"/>
        <v>26</v>
      </c>
      <c r="N52" s="63">
        <v>96.5</v>
      </c>
      <c r="O52" s="64">
        <f t="shared" si="6"/>
        <v>31</v>
      </c>
      <c r="P52" s="272">
        <v>185</v>
      </c>
      <c r="Q52" s="64">
        <f t="shared" si="7"/>
        <v>33</v>
      </c>
      <c r="R52" s="272">
        <v>20870</v>
      </c>
      <c r="S52" s="204" t="s">
        <v>75</v>
      </c>
    </row>
    <row r="53" spans="1:19" s="200" customFormat="1" ht="24" customHeight="1">
      <c r="A53" s="196" t="s">
        <v>53</v>
      </c>
      <c r="B53" s="197">
        <f t="shared" si="0"/>
        <v>16</v>
      </c>
      <c r="C53" s="61">
        <v>54.3</v>
      </c>
      <c r="D53" s="62">
        <f t="shared" si="1"/>
        <v>12</v>
      </c>
      <c r="E53" s="61">
        <v>24.5</v>
      </c>
      <c r="F53" s="62">
        <f t="shared" si="2"/>
        <v>19</v>
      </c>
      <c r="G53" s="61">
        <v>26.197183098591548</v>
      </c>
      <c r="H53" s="267"/>
      <c r="I53" s="62">
        <f t="shared" si="3"/>
        <v>42</v>
      </c>
      <c r="J53" s="268">
        <v>76.98</v>
      </c>
      <c r="K53" s="62">
        <f t="shared" si="4"/>
        <v>26</v>
      </c>
      <c r="L53" s="268">
        <v>84.68</v>
      </c>
      <c r="M53" s="62">
        <f t="shared" si="5"/>
        <v>28</v>
      </c>
      <c r="N53" s="61">
        <v>96.4</v>
      </c>
      <c r="O53" s="62">
        <f t="shared" si="6"/>
        <v>2</v>
      </c>
      <c r="P53" s="269">
        <v>2813</v>
      </c>
      <c r="Q53" s="62">
        <f t="shared" si="7"/>
        <v>3</v>
      </c>
      <c r="R53" s="269">
        <v>200804</v>
      </c>
      <c r="S53" s="199" t="s">
        <v>109</v>
      </c>
    </row>
    <row r="54" spans="1:19" ht="12" customHeight="1">
      <c r="A54" s="207" t="s">
        <v>54</v>
      </c>
      <c r="B54" s="208">
        <f t="shared" si="0"/>
        <v>16</v>
      </c>
      <c r="C54" s="209">
        <v>54.3</v>
      </c>
      <c r="D54" s="67">
        <f t="shared" si="1"/>
        <v>13</v>
      </c>
      <c r="E54" s="209">
        <v>24.4</v>
      </c>
      <c r="F54" s="67">
        <f t="shared" si="2"/>
        <v>12</v>
      </c>
      <c r="G54" s="209">
        <v>36.76797627872498</v>
      </c>
      <c r="H54" s="270"/>
      <c r="I54" s="67">
        <f t="shared" si="3"/>
        <v>26</v>
      </c>
      <c r="J54" s="276">
        <v>77.64</v>
      </c>
      <c r="K54" s="67">
        <f t="shared" si="4"/>
        <v>1</v>
      </c>
      <c r="L54" s="276">
        <v>86.01</v>
      </c>
      <c r="M54" s="67">
        <f t="shared" si="5"/>
        <v>1</v>
      </c>
      <c r="N54" s="209">
        <v>100</v>
      </c>
      <c r="O54" s="67">
        <f t="shared" si="6"/>
        <v>47</v>
      </c>
      <c r="P54" s="277">
        <v>7</v>
      </c>
      <c r="Q54" s="67">
        <f t="shared" si="7"/>
        <v>47</v>
      </c>
      <c r="R54" s="277">
        <v>1433</v>
      </c>
      <c r="S54" s="211" t="s">
        <v>110</v>
      </c>
    </row>
    <row r="55" spans="1:17" ht="13.5">
      <c r="A55" s="212" t="s">
        <v>168</v>
      </c>
      <c r="B55" s="215" t="s">
        <v>166</v>
      </c>
      <c r="C55" s="213"/>
      <c r="D55" s="213"/>
      <c r="E55" s="213"/>
      <c r="F55" s="213"/>
      <c r="G55" s="213"/>
      <c r="H55" s="224"/>
      <c r="I55" s="213"/>
      <c r="O55" s="214"/>
      <c r="Q55" s="214"/>
    </row>
  </sheetData>
  <mergeCells count="12">
    <mergeCell ref="K5:L5"/>
    <mergeCell ref="I4:L4"/>
    <mergeCell ref="Q5:R5"/>
    <mergeCell ref="O4:R4"/>
    <mergeCell ref="S4:S6"/>
    <mergeCell ref="A4:A6"/>
    <mergeCell ref="B4:C5"/>
    <mergeCell ref="O5:P5"/>
    <mergeCell ref="D4:E5"/>
    <mergeCell ref="M4:N5"/>
    <mergeCell ref="I5:J5"/>
    <mergeCell ref="F4:G5"/>
  </mergeCells>
  <printOptions horizontalCentered="1" verticalCentered="1"/>
  <pageMargins left="0.5905511811023623" right="0.3937007874015748" top="0" bottom="0" header="0.5118110236220472" footer="0.5118110236220472"/>
  <pageSetup blackAndWhite="1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2005-04-26T08:37:58Z</cp:lastPrinted>
  <dcterms:created xsi:type="dcterms:W3CDTF">2001-12-06T01:31:22Z</dcterms:created>
  <dcterms:modified xsi:type="dcterms:W3CDTF">2005-04-26T08:38:46Z</dcterms:modified>
  <cp:category/>
  <cp:version/>
  <cp:contentType/>
  <cp:contentStatus/>
</cp:coreProperties>
</file>