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9440" windowHeight="9885" activeTab="0"/>
  </bookViews>
  <sheets>
    <sheet name="115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\P">#REF!</definedName>
    <definedName name="_xlnm.Print_Area" localSheetId="0">'115'!$A$1:$K$60</definedName>
    <definedName name="_xlnm.Print_Area" localSheetId="1">'昨年'!$A$1:$K$56</definedName>
    <definedName name="Print_Area_MI" localSheetId="0">'115'!$A$1:$K$62</definedName>
    <definedName name="Print_Area_MI" localSheetId="1">'昨年'!$A$1:$K$58</definedName>
  </definedNames>
  <calcPr fullCalcOnLoad="1"/>
</workbook>
</file>

<file path=xl/sharedStrings.xml><?xml version="1.0" encoding="utf-8"?>
<sst xmlns="http://schemas.openxmlformats.org/spreadsheetml/2006/main" count="140" uniqueCount="40">
  <si>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</si>
  <si>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</si>
  <si>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</si>
  <si>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</si>
  <si>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</si>
  <si>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</si>
  <si>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</si>
  <si>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</si>
  <si>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</si>
  <si>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</si>
  <si>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</si>
  <si>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</si>
  <si>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</si>
  <si>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</si>
  <si>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</si>
  <si>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</si>
  <si>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</si>
  <si>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</si>
  <si>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</si>
  <si>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</si>
  <si>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</si>
  <si>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</si>
  <si>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</si>
  <si>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</si>
  <si>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</si>
  <si>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</si>
  <si>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</si>
  <si>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</si>
  <si>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</si>
  <si>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</si>
  <si>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</si>
  <si>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</si>
  <si>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</si>
  <si>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</si>
  <si>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</si>
  <si>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</si>
  <si>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</si>
  <si>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地方単独事業費</t>
  </si>
  <si>
    <t>Ｂ.事業費出所別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</si>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</sst>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2"/>
  <sheetViews>
    <sheetView showGridLines="0" tabSelected="1" view="pageBreakPreview" zoomScaleSheetLayoutView="100" zoomScalePageLayoutView="0" workbookViewId="0" topLeftCell="A31">
      <selection activeCell="L38" sqref="L38"/>
    </sheetView>
  </sheetViews>
  <sheetFormatPr defaultColWidth="10.375" defaultRowHeight="12" customHeight="1"/>
  <cols>
    <col min="1" max="1" width="20.375" style="1" customWidth="1"/>
    <col min="2" max="2" width="16.00390625" style="19" customWidth="1"/>
    <col min="3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thickBot="1">
      <c r="A2" s="2" t="s">
        <v>0</v>
      </c>
      <c r="B2" s="3"/>
      <c r="C2" s="4"/>
      <c r="D2" s="3"/>
      <c r="E2" s="58" t="s">
        <v>30</v>
      </c>
      <c r="F2" s="58"/>
      <c r="G2" s="3"/>
      <c r="H2" s="3"/>
      <c r="I2" s="3"/>
      <c r="J2" s="3"/>
      <c r="K2" s="3"/>
    </row>
    <row r="3" spans="1:11" s="5" customFormat="1" ht="18" customHeight="1" thickTop="1">
      <c r="A3" s="59" t="s">
        <v>1</v>
      </c>
      <c r="B3" s="61" t="s">
        <v>2</v>
      </c>
      <c r="C3" s="63" t="s">
        <v>24</v>
      </c>
      <c r="D3" s="64"/>
      <c r="E3" s="64"/>
      <c r="F3" s="64"/>
      <c r="G3" s="65"/>
      <c r="H3" s="63" t="s">
        <v>3</v>
      </c>
      <c r="I3" s="64"/>
      <c r="J3" s="64"/>
      <c r="K3" s="64"/>
    </row>
    <row r="4" spans="1:11" s="5" customFormat="1" ht="18" customHeight="1">
      <c r="A4" s="60"/>
      <c r="B4" s="62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20">
        <v>65223986</v>
      </c>
      <c r="C9" s="21">
        <v>50293288</v>
      </c>
      <c r="D9" s="21">
        <v>44705538</v>
      </c>
      <c r="E9" s="21">
        <v>4947850</v>
      </c>
      <c r="F9" s="21">
        <v>611540</v>
      </c>
      <c r="G9" s="21">
        <v>28360</v>
      </c>
      <c r="H9" s="21">
        <v>14930698</v>
      </c>
      <c r="I9" s="21">
        <v>8339736</v>
      </c>
      <c r="J9" s="21">
        <v>6586274</v>
      </c>
      <c r="K9" s="21">
        <v>4688</v>
      </c>
      <c r="L9" s="15"/>
      <c r="M9" s="15"/>
      <c r="N9" s="15"/>
    </row>
    <row r="10" spans="1:14" s="16" customFormat="1" ht="18" customHeight="1">
      <c r="A10" s="41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15"/>
      <c r="M10" s="15"/>
      <c r="N10" s="15"/>
    </row>
    <row r="11" spans="1:14" s="16" customFormat="1" ht="18" customHeight="1">
      <c r="A11" s="41">
        <v>22</v>
      </c>
      <c r="B11" s="20">
        <f>C11+H11</f>
        <v>59747363</v>
      </c>
      <c r="C11" s="21">
        <f>SUM(C13:C29)</f>
        <v>43563077</v>
      </c>
      <c r="D11" s="21">
        <f aca="true" t="shared" si="0" ref="D11:K11">SUM(D13:D29)</f>
        <v>38368976</v>
      </c>
      <c r="E11" s="21">
        <f t="shared" si="0"/>
        <v>5067815</v>
      </c>
      <c r="F11" s="21">
        <f t="shared" si="0"/>
        <v>126286</v>
      </c>
      <c r="G11" s="21">
        <v>0</v>
      </c>
      <c r="H11" s="21">
        <f t="shared" si="0"/>
        <v>16184286</v>
      </c>
      <c r="I11" s="21">
        <f t="shared" si="0"/>
        <v>8062613</v>
      </c>
      <c r="J11" s="21">
        <f>SUM(J13:J29)</f>
        <v>8110403</v>
      </c>
      <c r="K11" s="21">
        <f t="shared" si="0"/>
        <v>11270</v>
      </c>
      <c r="L11" s="15"/>
      <c r="M11" s="15"/>
      <c r="N11" s="15"/>
    </row>
    <row r="12" spans="1:14" s="16" customFormat="1" ht="18" customHeight="1">
      <c r="A12" s="14"/>
      <c r="B12" s="11"/>
      <c r="C12" s="12"/>
      <c r="D12" s="12"/>
      <c r="E12" s="12"/>
      <c r="F12" s="12"/>
      <c r="G12" s="12">
        <v>0</v>
      </c>
      <c r="H12" s="12"/>
      <c r="I12" s="12"/>
      <c r="J12" s="12"/>
      <c r="K12" s="12"/>
      <c r="L12" s="15"/>
      <c r="M12" s="15"/>
      <c r="N12" s="15"/>
    </row>
    <row r="13" spans="1:14" s="27" customFormat="1" ht="18" customHeight="1">
      <c r="A13" s="23" t="s">
        <v>8</v>
      </c>
      <c r="B13" s="47">
        <f>C13+H13</f>
        <v>4580428</v>
      </c>
      <c r="C13" s="25">
        <f>SUM(D13:G13)</f>
        <v>3850468</v>
      </c>
      <c r="D13" s="25">
        <v>3563668</v>
      </c>
      <c r="E13" s="25">
        <v>211820</v>
      </c>
      <c r="F13" s="25">
        <v>74980</v>
      </c>
      <c r="G13" s="25">
        <v>0</v>
      </c>
      <c r="H13" s="25">
        <f>SUM(I13:K13)</f>
        <v>729960</v>
      </c>
      <c r="I13" s="25">
        <v>713197</v>
      </c>
      <c r="J13" s="25">
        <v>14175</v>
      </c>
      <c r="K13" s="25">
        <v>2588</v>
      </c>
      <c r="L13" s="26">
        <f>C13-C44</f>
        <v>0</v>
      </c>
      <c r="M13" s="26"/>
      <c r="N13" s="26"/>
    </row>
    <row r="14" spans="1:14" s="27" customFormat="1" ht="18" customHeight="1">
      <c r="A14" s="23" t="s">
        <v>9</v>
      </c>
      <c r="B14" s="24">
        <f aca="true" t="shared" si="1" ref="B14:B29">C14+H14</f>
        <v>2132075</v>
      </c>
      <c r="C14" s="25">
        <f>SUM(D14:G14)</f>
        <v>2132075</v>
      </c>
      <c r="D14" s="25">
        <v>2132075</v>
      </c>
      <c r="E14" s="25">
        <v>0</v>
      </c>
      <c r="F14" s="25">
        <v>0</v>
      </c>
      <c r="G14" s="25">
        <v>0</v>
      </c>
      <c r="H14" s="25">
        <f aca="true" t="shared" si="2" ref="H14:H29">SUM(I14:K14)</f>
        <v>0</v>
      </c>
      <c r="I14" s="25">
        <v>0</v>
      </c>
      <c r="J14" s="25">
        <v>0</v>
      </c>
      <c r="K14" s="25">
        <v>0</v>
      </c>
      <c r="L14" s="26">
        <f aca="true" t="shared" si="3" ref="L14:L29">C14-C45</f>
        <v>0</v>
      </c>
      <c r="M14" s="26"/>
      <c r="N14" s="26"/>
    </row>
    <row r="15" spans="1:14" s="27" customFormat="1" ht="18" customHeight="1">
      <c r="A15" s="23" t="s">
        <v>10</v>
      </c>
      <c r="B15" s="24">
        <f t="shared" si="1"/>
        <v>2762984</v>
      </c>
      <c r="C15" s="25">
        <f aca="true" t="shared" si="4" ref="C15:C29">SUM(D15:G15)</f>
        <v>2632377</v>
      </c>
      <c r="D15" s="25">
        <v>2599648</v>
      </c>
      <c r="E15" s="25">
        <v>0</v>
      </c>
      <c r="F15" s="25">
        <v>32729</v>
      </c>
      <c r="G15" s="25">
        <v>0</v>
      </c>
      <c r="H15" s="25">
        <f t="shared" si="2"/>
        <v>130607</v>
      </c>
      <c r="I15" s="25">
        <v>120517</v>
      </c>
      <c r="J15" s="25">
        <v>7803</v>
      </c>
      <c r="K15" s="25">
        <v>2287</v>
      </c>
      <c r="L15" s="26">
        <f t="shared" si="3"/>
        <v>0</v>
      </c>
      <c r="M15" s="26"/>
      <c r="N15" s="26"/>
    </row>
    <row r="16" spans="1:14" s="27" customFormat="1" ht="18" customHeight="1">
      <c r="A16" s="23" t="s">
        <v>11</v>
      </c>
      <c r="B16" s="24">
        <f t="shared" si="1"/>
        <v>286994</v>
      </c>
      <c r="C16" s="25">
        <f t="shared" si="4"/>
        <v>286994</v>
      </c>
      <c r="D16" s="25">
        <v>286994</v>
      </c>
      <c r="E16" s="25"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6">
        <f t="shared" si="3"/>
        <v>0</v>
      </c>
      <c r="M16" s="26"/>
      <c r="N16" s="26"/>
    </row>
    <row r="17" spans="1:14" s="27" customFormat="1" ht="18" customHeight="1">
      <c r="A17" s="23" t="s">
        <v>12</v>
      </c>
      <c r="B17" s="24">
        <f t="shared" si="1"/>
        <v>1935029</v>
      </c>
      <c r="C17" s="25">
        <f t="shared" si="4"/>
        <v>1632371</v>
      </c>
      <c r="D17" s="25">
        <v>1632371</v>
      </c>
      <c r="E17" s="25">
        <v>0</v>
      </c>
      <c r="F17" s="25">
        <v>0</v>
      </c>
      <c r="G17" s="25">
        <v>0</v>
      </c>
      <c r="H17" s="25">
        <f t="shared" si="2"/>
        <v>302658</v>
      </c>
      <c r="I17" s="25">
        <v>302658</v>
      </c>
      <c r="J17" s="25">
        <v>0</v>
      </c>
      <c r="K17" s="25">
        <v>0</v>
      </c>
      <c r="L17" s="26">
        <f t="shared" si="3"/>
        <v>0</v>
      </c>
      <c r="M17" s="26"/>
      <c r="N17" s="26"/>
    </row>
    <row r="18" spans="1:14" s="27" customFormat="1" ht="18" customHeight="1">
      <c r="A18" s="23" t="s">
        <v>13</v>
      </c>
      <c r="B18" s="24">
        <f t="shared" si="1"/>
        <v>15363926</v>
      </c>
      <c r="C18" s="25">
        <f t="shared" si="4"/>
        <v>12698048</v>
      </c>
      <c r="D18" s="25">
        <v>10210464</v>
      </c>
      <c r="E18" s="25">
        <v>2487584</v>
      </c>
      <c r="F18" s="25">
        <v>0</v>
      </c>
      <c r="G18" s="25">
        <v>0</v>
      </c>
      <c r="H18" s="25">
        <f t="shared" si="2"/>
        <v>2665878</v>
      </c>
      <c r="I18" s="25">
        <v>320663</v>
      </c>
      <c r="J18" s="25">
        <v>2345215</v>
      </c>
      <c r="K18" s="25">
        <v>0</v>
      </c>
      <c r="L18" s="26">
        <f t="shared" si="3"/>
        <v>0</v>
      </c>
      <c r="M18" s="26"/>
      <c r="N18" s="26"/>
    </row>
    <row r="19" spans="1:14" s="27" customFormat="1" ht="18" customHeight="1">
      <c r="A19" s="23" t="s">
        <v>14</v>
      </c>
      <c r="B19" s="24">
        <f t="shared" si="1"/>
        <v>23892761</v>
      </c>
      <c r="C19" s="25">
        <f t="shared" si="4"/>
        <v>13241193</v>
      </c>
      <c r="D19" s="25">
        <v>10854205</v>
      </c>
      <c r="E19" s="25">
        <v>2368411</v>
      </c>
      <c r="F19" s="25">
        <v>18577</v>
      </c>
      <c r="G19" s="25">
        <v>0</v>
      </c>
      <c r="H19" s="25">
        <f t="shared" si="2"/>
        <v>10651568</v>
      </c>
      <c r="I19" s="25">
        <v>6226337</v>
      </c>
      <c r="J19" s="25">
        <v>4418836</v>
      </c>
      <c r="K19" s="25">
        <v>6395</v>
      </c>
      <c r="L19" s="26">
        <f t="shared" si="3"/>
        <v>0</v>
      </c>
      <c r="M19" s="26"/>
      <c r="N19" s="26"/>
    </row>
    <row r="20" spans="1:14" s="27" customFormat="1" ht="18" customHeight="1">
      <c r="A20" s="23" t="s">
        <v>15</v>
      </c>
      <c r="B20" s="24">
        <f t="shared" si="1"/>
        <v>0</v>
      </c>
      <c r="C20" s="25">
        <f t="shared" si="4"/>
        <v>0</v>
      </c>
      <c r="D20" s="25">
        <v>0</v>
      </c>
      <c r="E20" s="25"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/>
      <c r="N20" s="26"/>
    </row>
    <row r="21" spans="1:14" s="27" customFormat="1" ht="18" customHeight="1">
      <c r="A21" s="23" t="s">
        <v>16</v>
      </c>
      <c r="B21" s="24">
        <f t="shared" si="1"/>
        <v>6459309</v>
      </c>
      <c r="C21" s="25">
        <f t="shared" si="4"/>
        <v>6076770</v>
      </c>
      <c r="D21" s="25">
        <v>6076770</v>
      </c>
      <c r="E21" s="25">
        <v>0</v>
      </c>
      <c r="F21" s="25">
        <v>0</v>
      </c>
      <c r="G21" s="25">
        <v>0</v>
      </c>
      <c r="H21" s="25">
        <f t="shared" si="2"/>
        <v>382539</v>
      </c>
      <c r="I21" s="25">
        <v>379241</v>
      </c>
      <c r="J21" s="25">
        <v>3298</v>
      </c>
      <c r="K21" s="25">
        <v>0</v>
      </c>
      <c r="L21" s="26">
        <f t="shared" si="3"/>
        <v>0</v>
      </c>
      <c r="M21" s="26"/>
      <c r="N21" s="26"/>
    </row>
    <row r="22" spans="1:14" s="27" customFormat="1" ht="18" customHeight="1">
      <c r="A22" s="23" t="s">
        <v>17</v>
      </c>
      <c r="B22" s="24">
        <f t="shared" si="1"/>
        <v>0</v>
      </c>
      <c r="C22" s="25">
        <f t="shared" si="4"/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6">
        <f t="shared" si="3"/>
        <v>0</v>
      </c>
      <c r="M22" s="26"/>
      <c r="N22" s="26"/>
    </row>
    <row r="23" spans="1:14" s="27" customFormat="1" ht="18" customHeight="1">
      <c r="A23" s="23" t="s">
        <v>18</v>
      </c>
      <c r="B23" s="24">
        <f t="shared" si="1"/>
        <v>997138</v>
      </c>
      <c r="C23" s="25">
        <f t="shared" si="4"/>
        <v>389</v>
      </c>
      <c r="D23" s="25">
        <v>389</v>
      </c>
      <c r="E23" s="25">
        <v>0</v>
      </c>
      <c r="F23" s="25">
        <v>0</v>
      </c>
      <c r="G23" s="25">
        <v>0</v>
      </c>
      <c r="H23" s="25">
        <f t="shared" si="2"/>
        <v>996749</v>
      </c>
      <c r="I23" s="25">
        <v>0</v>
      </c>
      <c r="J23" s="25">
        <v>996749</v>
      </c>
      <c r="K23" s="25">
        <v>0</v>
      </c>
      <c r="L23" s="26">
        <f t="shared" si="3"/>
        <v>0</v>
      </c>
      <c r="M23" s="26"/>
      <c r="N23" s="26"/>
    </row>
    <row r="24" spans="1:14" s="27" customFormat="1" ht="18" customHeight="1">
      <c r="A24" s="23" t="s">
        <v>19</v>
      </c>
      <c r="B24" s="24">
        <f t="shared" si="1"/>
        <v>64466</v>
      </c>
      <c r="C24" s="25">
        <f t="shared" si="4"/>
        <v>64466</v>
      </c>
      <c r="D24" s="25">
        <v>64466</v>
      </c>
      <c r="E24" s="25">
        <v>0</v>
      </c>
      <c r="F24" s="25">
        <v>0</v>
      </c>
      <c r="G24" s="25">
        <v>0</v>
      </c>
      <c r="H24" s="25">
        <f t="shared" si="2"/>
        <v>0</v>
      </c>
      <c r="I24" s="28">
        <v>0</v>
      </c>
      <c r="J24" s="28">
        <v>0</v>
      </c>
      <c r="K24" s="28">
        <v>0</v>
      </c>
      <c r="L24" s="26">
        <f t="shared" si="3"/>
        <v>0</v>
      </c>
      <c r="M24" s="26"/>
      <c r="N24" s="26"/>
    </row>
    <row r="25" spans="1:14" s="27" customFormat="1" ht="18" customHeight="1">
      <c r="A25" s="23" t="s">
        <v>20</v>
      </c>
      <c r="B25" s="24">
        <f t="shared" si="1"/>
        <v>196230</v>
      </c>
      <c r="C25" s="25">
        <f t="shared" si="4"/>
        <v>196230</v>
      </c>
      <c r="D25" s="25">
        <v>196230</v>
      </c>
      <c r="E25" s="25">
        <v>0</v>
      </c>
      <c r="F25" s="25">
        <v>0</v>
      </c>
      <c r="G25" s="25">
        <v>0</v>
      </c>
      <c r="H25" s="25">
        <f t="shared" si="2"/>
        <v>0</v>
      </c>
      <c r="I25" s="28">
        <v>0</v>
      </c>
      <c r="J25" s="28">
        <v>0</v>
      </c>
      <c r="K25" s="28">
        <v>0</v>
      </c>
      <c r="L25" s="26">
        <f t="shared" si="3"/>
        <v>0</v>
      </c>
      <c r="M25" s="26"/>
      <c r="N25" s="26"/>
    </row>
    <row r="26" spans="1:14" s="27" customFormat="1" ht="18" customHeight="1">
      <c r="A26" s="23" t="s">
        <v>21</v>
      </c>
      <c r="B26" s="24">
        <f t="shared" si="1"/>
        <v>0</v>
      </c>
      <c r="C26" s="25">
        <f t="shared" si="4"/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2"/>
        <v>0</v>
      </c>
      <c r="I26" s="28">
        <v>0</v>
      </c>
      <c r="J26" s="28">
        <v>0</v>
      </c>
      <c r="K26" s="28">
        <v>0</v>
      </c>
      <c r="L26" s="26">
        <f t="shared" si="3"/>
        <v>0</v>
      </c>
      <c r="M26" s="26"/>
      <c r="N26" s="26"/>
    </row>
    <row r="27" spans="1:14" s="27" customFormat="1" ht="18" customHeight="1">
      <c r="A27" s="23" t="s">
        <v>34</v>
      </c>
      <c r="B27" s="24">
        <f t="shared" si="1"/>
        <v>1076023</v>
      </c>
      <c r="C27" s="25">
        <f t="shared" si="4"/>
        <v>751696</v>
      </c>
      <c r="D27" s="25">
        <v>751696</v>
      </c>
      <c r="E27" s="25">
        <v>0</v>
      </c>
      <c r="F27" s="25">
        <v>0</v>
      </c>
      <c r="G27" s="25">
        <v>0</v>
      </c>
      <c r="H27" s="25">
        <f t="shared" si="2"/>
        <v>324327</v>
      </c>
      <c r="I27" s="25">
        <v>0</v>
      </c>
      <c r="J27" s="25">
        <v>324327</v>
      </c>
      <c r="K27" s="28">
        <v>0</v>
      </c>
      <c r="L27" s="26">
        <f t="shared" si="3"/>
        <v>0</v>
      </c>
      <c r="M27" s="26"/>
      <c r="N27" s="26"/>
    </row>
    <row r="28" spans="1:14" s="27" customFormat="1" ht="18" customHeight="1">
      <c r="A28" s="23" t="s">
        <v>22</v>
      </c>
      <c r="B28" s="24">
        <f t="shared" si="1"/>
        <v>0</v>
      </c>
      <c r="C28" s="25">
        <f t="shared" si="4"/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2"/>
        <v>0</v>
      </c>
      <c r="I28" s="28">
        <v>0</v>
      </c>
      <c r="J28" s="28">
        <v>0</v>
      </c>
      <c r="K28" s="28">
        <v>0</v>
      </c>
      <c r="L28" s="26">
        <f t="shared" si="3"/>
        <v>0</v>
      </c>
      <c r="M28" s="26"/>
      <c r="N28" s="26"/>
    </row>
    <row r="29" spans="1:14" s="27" customFormat="1" ht="18" customHeight="1">
      <c r="A29" s="29" t="s">
        <v>23</v>
      </c>
      <c r="B29" s="30">
        <f t="shared" si="1"/>
        <v>0</v>
      </c>
      <c r="C29" s="31">
        <f t="shared" si="4"/>
        <v>0</v>
      </c>
      <c r="D29" s="32">
        <v>0</v>
      </c>
      <c r="E29" s="32">
        <v>0</v>
      </c>
      <c r="F29" s="32">
        <v>0</v>
      </c>
      <c r="G29" s="32">
        <v>0</v>
      </c>
      <c r="H29" s="31">
        <f t="shared" si="2"/>
        <v>0</v>
      </c>
      <c r="I29" s="32">
        <v>0</v>
      </c>
      <c r="J29" s="32">
        <v>0</v>
      </c>
      <c r="K29" s="32">
        <v>0</v>
      </c>
      <c r="L29" s="26">
        <f t="shared" si="3"/>
        <v>0</v>
      </c>
      <c r="M29" s="26"/>
      <c r="N29" s="26"/>
    </row>
    <row r="30" spans="1:14" s="27" customFormat="1" ht="18" customHeight="1">
      <c r="A30" s="33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6"/>
      <c r="M30" s="26"/>
      <c r="N30" s="26"/>
    </row>
    <row r="31" spans="1:14" s="27" customFormat="1" ht="18" customHeight="1">
      <c r="A31" s="33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26"/>
      <c r="N31" s="26"/>
    </row>
    <row r="32" spans="1:14" s="27" customFormat="1" ht="16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26"/>
      <c r="N32" s="26"/>
    </row>
    <row r="33" spans="1:14" s="27" customFormat="1" ht="31.5" customHeight="1" thickBot="1">
      <c r="A33" s="2" t="s">
        <v>0</v>
      </c>
      <c r="B33" s="37"/>
      <c r="C33" s="17"/>
      <c r="D33" s="37"/>
      <c r="E33" s="51" t="s">
        <v>31</v>
      </c>
      <c r="F33" s="51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25.5" customHeight="1" thickTop="1">
      <c r="A34" s="52" t="s">
        <v>1</v>
      </c>
      <c r="B34" s="54" t="s">
        <v>2</v>
      </c>
      <c r="C34" s="49" t="s">
        <v>24</v>
      </c>
      <c r="D34" s="50"/>
      <c r="E34" s="50"/>
      <c r="F34" s="50"/>
      <c r="G34" s="56"/>
      <c r="H34" s="49" t="s">
        <v>3</v>
      </c>
      <c r="I34" s="50"/>
      <c r="J34" s="50"/>
      <c r="K34" s="50"/>
      <c r="L34" s="26"/>
      <c r="M34" s="26"/>
      <c r="N34" s="26"/>
    </row>
    <row r="35" spans="1:14" s="27" customFormat="1" ht="18" customHeight="1">
      <c r="A35" s="53"/>
      <c r="B35" s="55"/>
      <c r="C35" s="38" t="s">
        <v>2</v>
      </c>
      <c r="D35" s="39" t="s">
        <v>25</v>
      </c>
      <c r="E35" s="40" t="s">
        <v>26</v>
      </c>
      <c r="F35" s="40" t="s">
        <v>27</v>
      </c>
      <c r="G35" s="40" t="s">
        <v>28</v>
      </c>
      <c r="H35" s="38" t="s">
        <v>2</v>
      </c>
      <c r="I35" s="39" t="s">
        <v>26</v>
      </c>
      <c r="J35" s="40" t="s">
        <v>27</v>
      </c>
      <c r="K35" s="40" t="s">
        <v>28</v>
      </c>
      <c r="L35" s="26"/>
      <c r="M35" s="26"/>
      <c r="N35" s="26"/>
    </row>
    <row r="36" spans="1:14" s="5" customFormat="1" ht="18" customHeight="1">
      <c r="A36" s="41" t="s">
        <v>33</v>
      </c>
      <c r="B36" s="24">
        <v>80911292</v>
      </c>
      <c r="C36" s="42">
        <v>58732737</v>
      </c>
      <c r="D36" s="28">
        <v>31929517</v>
      </c>
      <c r="E36" s="28">
        <v>24889116</v>
      </c>
      <c r="F36" s="28">
        <v>1914104</v>
      </c>
      <c r="G36" s="28">
        <v>0</v>
      </c>
      <c r="H36" s="42">
        <v>22178555</v>
      </c>
      <c r="I36" s="28">
        <v>19925122</v>
      </c>
      <c r="J36" s="28">
        <v>2024950</v>
      </c>
      <c r="K36" s="28">
        <v>228483</v>
      </c>
      <c r="L36" s="18"/>
      <c r="M36" s="18"/>
      <c r="N36" s="18"/>
    </row>
    <row r="37" spans="1:14" s="5" customFormat="1" ht="18" customHeight="1">
      <c r="A37" s="41">
        <v>18</v>
      </c>
      <c r="B37" s="24">
        <v>80804378</v>
      </c>
      <c r="C37" s="28">
        <v>59013937</v>
      </c>
      <c r="D37" s="28">
        <v>31889923</v>
      </c>
      <c r="E37" s="28">
        <v>25436284</v>
      </c>
      <c r="F37" s="28">
        <v>1687730</v>
      </c>
      <c r="G37" s="28">
        <v>0</v>
      </c>
      <c r="H37" s="28">
        <v>21790441</v>
      </c>
      <c r="I37" s="28">
        <v>19799025</v>
      </c>
      <c r="J37" s="28">
        <v>1948204</v>
      </c>
      <c r="K37" s="28">
        <v>43212</v>
      </c>
      <c r="L37" s="18"/>
      <c r="M37" s="18"/>
      <c r="N37" s="18"/>
    </row>
    <row r="38" spans="1:14" s="16" customFormat="1" ht="18" customHeight="1">
      <c r="A38" s="22">
        <v>19</v>
      </c>
      <c r="B38" s="20">
        <v>69851802</v>
      </c>
      <c r="C38" s="21">
        <v>52375176</v>
      </c>
      <c r="D38" s="21">
        <v>27873425</v>
      </c>
      <c r="E38" s="21">
        <v>22437899</v>
      </c>
      <c r="F38" s="21">
        <v>2063852</v>
      </c>
      <c r="G38" s="21">
        <v>0</v>
      </c>
      <c r="H38" s="21">
        <v>17476626</v>
      </c>
      <c r="I38" s="21">
        <v>16079839</v>
      </c>
      <c r="J38" s="21">
        <v>1342848</v>
      </c>
      <c r="K38" s="21">
        <v>53939</v>
      </c>
      <c r="L38" s="15"/>
      <c r="M38" s="15"/>
      <c r="N38" s="15"/>
    </row>
    <row r="39" spans="1:14" s="16" customFormat="1" ht="18" customHeight="1">
      <c r="A39" s="22">
        <v>20</v>
      </c>
      <c r="B39" s="20">
        <v>61733402</v>
      </c>
      <c r="C39" s="21">
        <v>46043641</v>
      </c>
      <c r="D39" s="21">
        <v>25852254</v>
      </c>
      <c r="E39" s="21">
        <v>18678964</v>
      </c>
      <c r="F39" s="21">
        <v>1512423</v>
      </c>
      <c r="G39" s="21">
        <v>0</v>
      </c>
      <c r="H39" s="21">
        <v>15689761</v>
      </c>
      <c r="I39" s="21">
        <v>14354048</v>
      </c>
      <c r="J39" s="21">
        <v>1281349</v>
      </c>
      <c r="K39" s="21">
        <v>54364</v>
      </c>
      <c r="L39" s="15"/>
      <c r="M39" s="15"/>
      <c r="N39" s="15"/>
    </row>
    <row r="40" spans="1:14" s="16" customFormat="1" ht="18" customHeight="1">
      <c r="A40" s="22">
        <v>21</v>
      </c>
      <c r="B40" s="20">
        <v>65223986</v>
      </c>
      <c r="C40" s="21">
        <v>50293288</v>
      </c>
      <c r="D40" s="21">
        <v>29359724</v>
      </c>
      <c r="E40" s="21">
        <v>19633616</v>
      </c>
      <c r="F40" s="21">
        <v>1299948</v>
      </c>
      <c r="G40" s="21">
        <v>0</v>
      </c>
      <c r="H40" s="21">
        <v>14930698</v>
      </c>
      <c r="I40" s="21">
        <v>13762215</v>
      </c>
      <c r="J40" s="21">
        <v>963069</v>
      </c>
      <c r="K40" s="21">
        <v>205414</v>
      </c>
      <c r="L40" s="15"/>
      <c r="M40" s="15"/>
      <c r="N40" s="15"/>
    </row>
    <row r="41" spans="1:14" s="16" customFormat="1" ht="18" customHeight="1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5"/>
      <c r="M41" s="15"/>
      <c r="N41" s="15"/>
    </row>
    <row r="42" spans="1:14" s="16" customFormat="1" ht="18" customHeight="1">
      <c r="A42" s="22">
        <v>22</v>
      </c>
      <c r="B42" s="21">
        <f>SUM(B44:B60)</f>
        <v>59747363</v>
      </c>
      <c r="C42" s="21">
        <f>SUM(C44:C60)</f>
        <v>43563077</v>
      </c>
      <c r="D42" s="21">
        <f aca="true" t="shared" si="5" ref="D42:K42">SUM(D44:D60)</f>
        <v>24897504</v>
      </c>
      <c r="E42" s="21">
        <f t="shared" si="5"/>
        <v>17323819</v>
      </c>
      <c r="F42" s="21">
        <f t="shared" si="5"/>
        <v>1341754</v>
      </c>
      <c r="G42" s="21">
        <f t="shared" si="5"/>
        <v>0</v>
      </c>
      <c r="H42" s="21">
        <f t="shared" si="5"/>
        <v>16184286</v>
      </c>
      <c r="I42" s="21">
        <f t="shared" si="5"/>
        <v>14554999</v>
      </c>
      <c r="J42" s="21">
        <f t="shared" si="5"/>
        <v>1436402</v>
      </c>
      <c r="K42" s="21">
        <f t="shared" si="5"/>
        <v>192885</v>
      </c>
      <c r="L42" s="15"/>
      <c r="M42" s="15"/>
      <c r="N42" s="15"/>
    </row>
    <row r="43" spans="1:14" s="27" customFormat="1" ht="18" customHeight="1">
      <c r="A43" s="43"/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6"/>
      <c r="M43" s="26"/>
      <c r="N43" s="26"/>
    </row>
    <row r="44" spans="1:14" s="27" customFormat="1" ht="18" customHeight="1">
      <c r="A44" s="23" t="s">
        <v>8</v>
      </c>
      <c r="B44" s="24">
        <f>C44+H44</f>
        <v>4580428</v>
      </c>
      <c r="C44" s="25">
        <f>SUM(D44:G44)</f>
        <v>3850468</v>
      </c>
      <c r="D44" s="25">
        <f>1742281+105910+49470</f>
        <v>1897661</v>
      </c>
      <c r="E44" s="25">
        <f>1821387+105910+25510</f>
        <v>1952807</v>
      </c>
      <c r="F44" s="25">
        <v>0</v>
      </c>
      <c r="G44" s="28">
        <v>0</v>
      </c>
      <c r="H44" s="25">
        <f>SUM(I44:K44)</f>
        <v>729960</v>
      </c>
      <c r="I44" s="25">
        <f>713197+14175+2588</f>
        <v>729960</v>
      </c>
      <c r="J44" s="25">
        <v>0</v>
      </c>
      <c r="K44" s="25">
        <v>0</v>
      </c>
      <c r="L44" s="26">
        <f>H13-H44</f>
        <v>0</v>
      </c>
      <c r="M44" s="26"/>
      <c r="N44" s="26"/>
    </row>
    <row r="45" spans="1:14" s="16" customFormat="1" ht="18" customHeight="1">
      <c r="A45" s="23" t="s">
        <v>9</v>
      </c>
      <c r="B45" s="24">
        <f aca="true" t="shared" si="6" ref="B45:B60">C45+H45</f>
        <v>2132075</v>
      </c>
      <c r="C45" s="25">
        <f aca="true" t="shared" si="7" ref="C45:C60">SUM(D45:G45)</f>
        <v>2132075</v>
      </c>
      <c r="D45" s="25">
        <v>1155959</v>
      </c>
      <c r="E45" s="25">
        <v>976116</v>
      </c>
      <c r="F45" s="25">
        <v>0</v>
      </c>
      <c r="G45" s="28">
        <v>0</v>
      </c>
      <c r="H45" s="25">
        <f aca="true" t="shared" si="8" ref="H45:H60">SUM(I45:K45)</f>
        <v>0</v>
      </c>
      <c r="I45" s="25">
        <v>0</v>
      </c>
      <c r="J45" s="25">
        <v>0</v>
      </c>
      <c r="K45" s="25">
        <v>0</v>
      </c>
      <c r="L45" s="26">
        <f aca="true" t="shared" si="9" ref="L45:L60">H14-H45</f>
        <v>0</v>
      </c>
      <c r="M45" s="15"/>
      <c r="N45" s="15"/>
    </row>
    <row r="46" spans="1:14" s="27" customFormat="1" ht="18" customHeight="1">
      <c r="A46" s="23" t="s">
        <v>10</v>
      </c>
      <c r="B46" s="24">
        <f t="shared" si="6"/>
        <v>2762984</v>
      </c>
      <c r="C46" s="25">
        <f t="shared" si="7"/>
        <v>2632377</v>
      </c>
      <c r="D46" s="25">
        <f>1291908+21430</f>
        <v>1313338</v>
      </c>
      <c r="E46" s="25">
        <f>1307740+11299</f>
        <v>1319039</v>
      </c>
      <c r="F46" s="25">
        <v>0</v>
      </c>
      <c r="G46" s="28">
        <v>0</v>
      </c>
      <c r="H46" s="25">
        <f t="shared" si="8"/>
        <v>130607</v>
      </c>
      <c r="I46" s="25">
        <f>120517+7803+2287</f>
        <v>130607</v>
      </c>
      <c r="J46" s="25">
        <v>0</v>
      </c>
      <c r="K46" s="25">
        <v>0</v>
      </c>
      <c r="L46" s="26">
        <f t="shared" si="9"/>
        <v>0</v>
      </c>
      <c r="M46" s="26"/>
      <c r="N46" s="26"/>
    </row>
    <row r="47" spans="1:14" s="27" customFormat="1" ht="18" customHeight="1">
      <c r="A47" s="23" t="s">
        <v>11</v>
      </c>
      <c r="B47" s="24">
        <f t="shared" si="6"/>
        <v>286994</v>
      </c>
      <c r="C47" s="25">
        <f t="shared" si="7"/>
        <v>286994</v>
      </c>
      <c r="D47" s="25">
        <v>103540</v>
      </c>
      <c r="E47" s="25">
        <v>164268</v>
      </c>
      <c r="F47" s="25">
        <v>19186</v>
      </c>
      <c r="G47" s="28">
        <v>0</v>
      </c>
      <c r="H47" s="25">
        <f t="shared" si="8"/>
        <v>0</v>
      </c>
      <c r="I47" s="25">
        <v>0</v>
      </c>
      <c r="J47" s="25">
        <v>0</v>
      </c>
      <c r="K47" s="25">
        <v>0</v>
      </c>
      <c r="L47" s="26">
        <f t="shared" si="9"/>
        <v>0</v>
      </c>
      <c r="M47" s="26"/>
      <c r="N47" s="26"/>
    </row>
    <row r="48" spans="1:14" s="27" customFormat="1" ht="18" customHeight="1">
      <c r="A48" s="23" t="s">
        <v>12</v>
      </c>
      <c r="B48" s="24">
        <f t="shared" si="6"/>
        <v>1935029</v>
      </c>
      <c r="C48" s="25">
        <f t="shared" si="7"/>
        <v>1632371</v>
      </c>
      <c r="D48" s="25">
        <f>698050</f>
        <v>698050</v>
      </c>
      <c r="E48" s="25">
        <f>795389</f>
        <v>795389</v>
      </c>
      <c r="F48" s="25">
        <f>138932</f>
        <v>138932</v>
      </c>
      <c r="G48" s="28">
        <v>0</v>
      </c>
      <c r="H48" s="25">
        <f t="shared" si="8"/>
        <v>302658</v>
      </c>
      <c r="I48" s="25">
        <v>252246</v>
      </c>
      <c r="J48" s="25">
        <v>50412</v>
      </c>
      <c r="K48" s="25">
        <v>0</v>
      </c>
      <c r="L48" s="26">
        <f t="shared" si="9"/>
        <v>0</v>
      </c>
      <c r="M48" s="26"/>
      <c r="N48" s="26"/>
    </row>
    <row r="49" spans="1:14" s="27" customFormat="1" ht="18" customHeight="1">
      <c r="A49" s="23" t="s">
        <v>13</v>
      </c>
      <c r="B49" s="24">
        <f t="shared" si="6"/>
        <v>15363926</v>
      </c>
      <c r="C49" s="25">
        <f t="shared" si="7"/>
        <v>12698048</v>
      </c>
      <c r="D49" s="25">
        <f>6243014+1205153</f>
        <v>7448167</v>
      </c>
      <c r="E49" s="25">
        <f>3967450+1282431</f>
        <v>5249881</v>
      </c>
      <c r="F49" s="25">
        <v>0</v>
      </c>
      <c r="G49" s="28">
        <v>0</v>
      </c>
      <c r="H49" s="25">
        <f t="shared" si="8"/>
        <v>2665878</v>
      </c>
      <c r="I49" s="25">
        <f>294973+2345215</f>
        <v>2640188</v>
      </c>
      <c r="J49" s="25">
        <v>25690</v>
      </c>
      <c r="K49" s="25">
        <v>0</v>
      </c>
      <c r="L49" s="26">
        <f t="shared" si="9"/>
        <v>0</v>
      </c>
      <c r="M49" s="26"/>
      <c r="N49" s="26"/>
    </row>
    <row r="50" spans="1:14" s="27" customFormat="1" ht="18" customHeight="1">
      <c r="A50" s="23" t="s">
        <v>14</v>
      </c>
      <c r="B50" s="24">
        <f t="shared" si="6"/>
        <v>23892761</v>
      </c>
      <c r="C50" s="25">
        <f t="shared" si="7"/>
        <v>13241193</v>
      </c>
      <c r="D50" s="25">
        <f>6917157+1447591+11988</f>
        <v>8376736</v>
      </c>
      <c r="E50" s="44">
        <f>3937048+920820+6589</f>
        <v>4864457</v>
      </c>
      <c r="F50" s="25">
        <v>0</v>
      </c>
      <c r="G50" s="28">
        <v>0</v>
      </c>
      <c r="H50" s="25">
        <f t="shared" si="8"/>
        <v>10651568</v>
      </c>
      <c r="I50" s="25">
        <f>5195039+4418836+6395</f>
        <v>9620270</v>
      </c>
      <c r="J50" s="25">
        <v>1031298</v>
      </c>
      <c r="K50" s="25">
        <v>0</v>
      </c>
      <c r="L50" s="26">
        <f t="shared" si="9"/>
        <v>0</v>
      </c>
      <c r="M50" s="26"/>
      <c r="N50" s="26"/>
    </row>
    <row r="51" spans="1:14" s="27" customFormat="1" ht="18" customHeight="1">
      <c r="A51" s="23" t="s">
        <v>15</v>
      </c>
      <c r="B51" s="24">
        <f t="shared" si="6"/>
        <v>0</v>
      </c>
      <c r="C51" s="25">
        <f t="shared" si="7"/>
        <v>0</v>
      </c>
      <c r="D51" s="25">
        <v>0</v>
      </c>
      <c r="E51" s="25">
        <v>0</v>
      </c>
      <c r="F51" s="25">
        <v>0</v>
      </c>
      <c r="G51" s="28">
        <v>0</v>
      </c>
      <c r="H51" s="25">
        <f t="shared" si="8"/>
        <v>0</v>
      </c>
      <c r="I51" s="25">
        <v>0</v>
      </c>
      <c r="J51" s="25">
        <v>0</v>
      </c>
      <c r="K51" s="25">
        <v>0</v>
      </c>
      <c r="L51" s="26">
        <f t="shared" si="9"/>
        <v>0</v>
      </c>
      <c r="M51" s="26"/>
      <c r="N51" s="26"/>
    </row>
    <row r="52" spans="1:14" s="27" customFormat="1" ht="18" customHeight="1">
      <c r="A52" s="23" t="s">
        <v>16</v>
      </c>
      <c r="B52" s="24">
        <f t="shared" si="6"/>
        <v>6459309</v>
      </c>
      <c r="C52" s="25">
        <f t="shared" si="7"/>
        <v>6076770</v>
      </c>
      <c r="D52" s="25">
        <v>3441077</v>
      </c>
      <c r="E52" s="25">
        <v>1516192</v>
      </c>
      <c r="F52" s="25">
        <v>1119501</v>
      </c>
      <c r="G52" s="28">
        <v>0</v>
      </c>
      <c r="H52" s="25">
        <f t="shared" si="8"/>
        <v>382539</v>
      </c>
      <c r="I52" s="25">
        <f>248604+3298</f>
        <v>251902</v>
      </c>
      <c r="J52" s="25">
        <v>102245</v>
      </c>
      <c r="K52" s="25">
        <v>28392</v>
      </c>
      <c r="L52" s="26">
        <f t="shared" si="9"/>
        <v>0</v>
      </c>
      <c r="M52" s="26"/>
      <c r="N52" s="26"/>
    </row>
    <row r="53" spans="1:14" s="27" customFormat="1" ht="18" customHeight="1">
      <c r="A53" s="23" t="s">
        <v>17</v>
      </c>
      <c r="B53" s="24">
        <f t="shared" si="6"/>
        <v>0</v>
      </c>
      <c r="C53" s="25">
        <f t="shared" si="7"/>
        <v>0</v>
      </c>
      <c r="D53" s="25">
        <v>0</v>
      </c>
      <c r="E53" s="25">
        <v>0</v>
      </c>
      <c r="F53" s="25">
        <v>0</v>
      </c>
      <c r="G53" s="28">
        <v>0</v>
      </c>
      <c r="H53" s="25">
        <f t="shared" si="8"/>
        <v>0</v>
      </c>
      <c r="I53" s="25">
        <v>0</v>
      </c>
      <c r="J53" s="25">
        <v>0</v>
      </c>
      <c r="K53" s="25">
        <v>0</v>
      </c>
      <c r="L53" s="26">
        <f t="shared" si="9"/>
        <v>0</v>
      </c>
      <c r="M53" s="26"/>
      <c r="N53" s="26"/>
    </row>
    <row r="54" spans="1:14" s="27" customFormat="1" ht="18" customHeight="1">
      <c r="A54" s="23" t="s">
        <v>18</v>
      </c>
      <c r="B54" s="24">
        <f t="shared" si="6"/>
        <v>997138</v>
      </c>
      <c r="C54" s="25">
        <f t="shared" si="7"/>
        <v>389</v>
      </c>
      <c r="D54" s="25">
        <v>389</v>
      </c>
      <c r="E54" s="25">
        <v>0</v>
      </c>
      <c r="F54" s="25">
        <v>0</v>
      </c>
      <c r="G54" s="28">
        <v>0</v>
      </c>
      <c r="H54" s="25">
        <f t="shared" si="8"/>
        <v>996749</v>
      </c>
      <c r="I54" s="25">
        <v>605499</v>
      </c>
      <c r="J54" s="25">
        <v>226757</v>
      </c>
      <c r="K54" s="25">
        <v>164493</v>
      </c>
      <c r="L54" s="26">
        <f t="shared" si="9"/>
        <v>0</v>
      </c>
      <c r="M54" s="26"/>
      <c r="N54" s="26"/>
    </row>
    <row r="55" spans="1:14" s="27" customFormat="1" ht="18" customHeight="1">
      <c r="A55" s="23" t="s">
        <v>19</v>
      </c>
      <c r="B55" s="24">
        <f t="shared" si="6"/>
        <v>64466</v>
      </c>
      <c r="C55" s="25">
        <f t="shared" si="7"/>
        <v>64466</v>
      </c>
      <c r="D55" s="25">
        <v>35141</v>
      </c>
      <c r="E55" s="25">
        <v>14585</v>
      </c>
      <c r="F55" s="25">
        <v>14740</v>
      </c>
      <c r="G55" s="28">
        <v>0</v>
      </c>
      <c r="H55" s="25">
        <f t="shared" si="8"/>
        <v>0</v>
      </c>
      <c r="I55" s="25">
        <v>0</v>
      </c>
      <c r="J55" s="25">
        <v>0</v>
      </c>
      <c r="K55" s="25">
        <v>0</v>
      </c>
      <c r="L55" s="26">
        <f t="shared" si="9"/>
        <v>0</v>
      </c>
      <c r="M55" s="26"/>
      <c r="N55" s="26"/>
    </row>
    <row r="56" spans="1:14" s="27" customFormat="1" ht="18" customHeight="1">
      <c r="A56" s="23" t="s">
        <v>20</v>
      </c>
      <c r="B56" s="24">
        <f t="shared" si="6"/>
        <v>196230</v>
      </c>
      <c r="C56" s="25">
        <f t="shared" si="7"/>
        <v>196230</v>
      </c>
      <c r="D56" s="25">
        <v>103650</v>
      </c>
      <c r="E56" s="25">
        <v>43185</v>
      </c>
      <c r="F56" s="25">
        <v>49395</v>
      </c>
      <c r="G56" s="28">
        <v>0</v>
      </c>
      <c r="H56" s="25">
        <f t="shared" si="8"/>
        <v>0</v>
      </c>
      <c r="I56" s="25">
        <v>0</v>
      </c>
      <c r="J56" s="25">
        <v>0</v>
      </c>
      <c r="K56" s="25">
        <v>0</v>
      </c>
      <c r="L56" s="26">
        <f t="shared" si="9"/>
        <v>0</v>
      </c>
      <c r="M56" s="26"/>
      <c r="N56" s="26"/>
    </row>
    <row r="57" spans="1:14" s="27" customFormat="1" ht="18" customHeight="1">
      <c r="A57" s="23" t="s">
        <v>21</v>
      </c>
      <c r="B57" s="24">
        <f t="shared" si="6"/>
        <v>0</v>
      </c>
      <c r="C57" s="25">
        <f t="shared" si="7"/>
        <v>0</v>
      </c>
      <c r="D57" s="25">
        <v>0</v>
      </c>
      <c r="E57" s="25">
        <v>0</v>
      </c>
      <c r="F57" s="25">
        <v>0</v>
      </c>
      <c r="G57" s="28">
        <v>0</v>
      </c>
      <c r="H57" s="25">
        <f t="shared" si="8"/>
        <v>0</v>
      </c>
      <c r="I57" s="25">
        <v>0</v>
      </c>
      <c r="J57" s="25">
        <v>0</v>
      </c>
      <c r="K57" s="25">
        <v>0</v>
      </c>
      <c r="L57" s="26">
        <f t="shared" si="9"/>
        <v>0</v>
      </c>
      <c r="M57" s="26"/>
      <c r="N57" s="26"/>
    </row>
    <row r="58" spans="1:14" s="27" customFormat="1" ht="18" customHeight="1">
      <c r="A58" s="23" t="s">
        <v>34</v>
      </c>
      <c r="B58" s="24">
        <f t="shared" si="6"/>
        <v>1076023</v>
      </c>
      <c r="C58" s="25">
        <f t="shared" si="7"/>
        <v>751696</v>
      </c>
      <c r="D58" s="25">
        <f>315243+8553</f>
        <v>323796</v>
      </c>
      <c r="E58" s="25">
        <f>416721+11179</f>
        <v>427900</v>
      </c>
      <c r="F58" s="25">
        <v>0</v>
      </c>
      <c r="G58" s="28">
        <v>0</v>
      </c>
      <c r="H58" s="25">
        <f t="shared" si="8"/>
        <v>324327</v>
      </c>
      <c r="I58" s="25">
        <v>324327</v>
      </c>
      <c r="J58" s="25">
        <v>0</v>
      </c>
      <c r="K58" s="25">
        <v>0</v>
      </c>
      <c r="L58" s="26">
        <f t="shared" si="9"/>
        <v>0</v>
      </c>
      <c r="M58" s="26"/>
      <c r="N58" s="26"/>
    </row>
    <row r="59" spans="1:14" s="27" customFormat="1" ht="18" customHeight="1">
      <c r="A59" s="23" t="s">
        <v>22</v>
      </c>
      <c r="B59" s="24">
        <f t="shared" si="6"/>
        <v>0</v>
      </c>
      <c r="C59" s="25">
        <f t="shared" si="7"/>
        <v>0</v>
      </c>
      <c r="D59" s="25">
        <v>0</v>
      </c>
      <c r="E59" s="25">
        <v>0</v>
      </c>
      <c r="F59" s="25">
        <v>0</v>
      </c>
      <c r="G59" s="28">
        <v>0</v>
      </c>
      <c r="H59" s="25">
        <f t="shared" si="8"/>
        <v>0</v>
      </c>
      <c r="I59" s="25">
        <v>0</v>
      </c>
      <c r="J59" s="25">
        <v>0</v>
      </c>
      <c r="K59" s="25">
        <v>0</v>
      </c>
      <c r="L59" s="26">
        <f t="shared" si="9"/>
        <v>0</v>
      </c>
      <c r="M59" s="26"/>
      <c r="N59" s="26"/>
    </row>
    <row r="60" spans="1:14" s="27" customFormat="1" ht="18" customHeight="1">
      <c r="A60" s="29" t="s">
        <v>23</v>
      </c>
      <c r="B60" s="30">
        <f t="shared" si="6"/>
        <v>0</v>
      </c>
      <c r="C60" s="31">
        <f t="shared" si="7"/>
        <v>0</v>
      </c>
      <c r="D60" s="32">
        <v>0</v>
      </c>
      <c r="E60" s="32">
        <v>0</v>
      </c>
      <c r="F60" s="32">
        <v>0</v>
      </c>
      <c r="G60" s="32">
        <v>0</v>
      </c>
      <c r="H60" s="31">
        <f t="shared" si="8"/>
        <v>0</v>
      </c>
      <c r="I60" s="31">
        <v>0</v>
      </c>
      <c r="J60" s="31">
        <v>0</v>
      </c>
      <c r="K60" s="31">
        <v>0</v>
      </c>
      <c r="L60" s="26">
        <f t="shared" si="9"/>
        <v>0</v>
      </c>
      <c r="M60" s="26"/>
      <c r="N60" s="26"/>
    </row>
    <row r="61" spans="1:11" s="27" customFormat="1" ht="16.5" customHeight="1">
      <c r="A61" s="34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s="27" customFormat="1" ht="12" customHeight="1">
      <c r="A62" s="26" t="s">
        <v>35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</row>
  </sheetData>
  <sheetProtection/>
  <mergeCells count="11">
    <mergeCell ref="H3:K3"/>
    <mergeCell ref="H34:K34"/>
    <mergeCell ref="E33:F33"/>
    <mergeCell ref="A34:A35"/>
    <mergeCell ref="B34:B35"/>
    <mergeCell ref="C34:G34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0"/>
  <sheetViews>
    <sheetView showGridLines="0" zoomScaleSheetLayoutView="100" zoomScalePageLayoutView="0" workbookViewId="0" topLeftCell="A1">
      <selection activeCell="L38" sqref="L38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6384" width="10.375" style="1" customWidth="1"/>
  </cols>
  <sheetData>
    <row r="1" spans="1:11" ht="21.7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 customHeight="1" thickBot="1">
      <c r="A2" s="2" t="s">
        <v>0</v>
      </c>
      <c r="B2" s="3"/>
      <c r="C2" s="4"/>
      <c r="D2" s="3"/>
      <c r="E2" s="58" t="s">
        <v>30</v>
      </c>
      <c r="F2" s="58"/>
      <c r="G2" s="3"/>
      <c r="H2" s="3"/>
      <c r="I2" s="3"/>
      <c r="J2" s="3"/>
      <c r="K2" s="3"/>
    </row>
    <row r="3" spans="1:11" s="5" customFormat="1" ht="18" customHeight="1" thickTop="1">
      <c r="A3" s="59" t="s">
        <v>1</v>
      </c>
      <c r="B3" s="61" t="s">
        <v>2</v>
      </c>
      <c r="C3" s="63" t="s">
        <v>24</v>
      </c>
      <c r="D3" s="64"/>
      <c r="E3" s="64"/>
      <c r="F3" s="64"/>
      <c r="G3" s="65"/>
      <c r="H3" s="63" t="s">
        <v>37</v>
      </c>
      <c r="I3" s="64"/>
      <c r="J3" s="64"/>
      <c r="K3" s="64"/>
    </row>
    <row r="4" spans="1:11" s="5" customFormat="1" ht="18" customHeight="1">
      <c r="A4" s="60"/>
      <c r="B4" s="62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16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15"/>
      <c r="M8" s="15"/>
      <c r="N8" s="15"/>
    </row>
    <row r="9" spans="1:14" s="16" customFormat="1" ht="18" customHeight="1">
      <c r="A9" s="22"/>
      <c r="B9" s="20"/>
      <c r="C9" s="21"/>
      <c r="D9" s="21"/>
      <c r="E9" s="21"/>
      <c r="F9" s="21"/>
      <c r="G9" s="21"/>
      <c r="H9" s="21"/>
      <c r="I9" s="21"/>
      <c r="J9" s="21"/>
      <c r="K9" s="21"/>
      <c r="L9" s="15"/>
      <c r="M9" s="15"/>
      <c r="N9" s="15"/>
    </row>
    <row r="10" spans="1:14" s="16" customFormat="1" ht="18" customHeight="1">
      <c r="A10" s="22">
        <v>21</v>
      </c>
      <c r="B10" s="20">
        <f>SUM(B12:B28)</f>
        <v>102704060</v>
      </c>
      <c r="C10" s="21">
        <f>SUM(C12:C28)</f>
        <v>71291044</v>
      </c>
      <c r="D10" s="21">
        <f aca="true" t="shared" si="0" ref="D10:K10">SUM(D12:D28)</f>
        <v>64543235</v>
      </c>
      <c r="E10" s="21">
        <f t="shared" si="0"/>
        <v>5797160</v>
      </c>
      <c r="F10" s="21">
        <f t="shared" si="0"/>
        <v>893929</v>
      </c>
      <c r="G10" s="21">
        <f t="shared" si="0"/>
        <v>56720</v>
      </c>
      <c r="H10" s="21">
        <f t="shared" si="0"/>
        <v>31413016</v>
      </c>
      <c r="I10" s="21">
        <f t="shared" si="0"/>
        <v>17339240</v>
      </c>
      <c r="J10" s="21">
        <f>SUM(J12:J28)</f>
        <v>13930276</v>
      </c>
      <c r="K10" s="21">
        <f t="shared" si="0"/>
        <v>143500</v>
      </c>
      <c r="L10" s="15"/>
      <c r="M10" s="15"/>
      <c r="N10" s="15"/>
    </row>
    <row r="11" spans="1:14" s="27" customFormat="1" ht="18" customHeight="1">
      <c r="A11" s="14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26"/>
      <c r="M11" s="26"/>
      <c r="N11" s="26"/>
    </row>
    <row r="12" spans="1:14" s="27" customFormat="1" ht="18" customHeight="1">
      <c r="A12" s="23" t="s">
        <v>8</v>
      </c>
      <c r="B12" s="24">
        <f>C12+H12</f>
        <v>5948073</v>
      </c>
      <c r="C12" s="25">
        <f>SUM(D12:G12)</f>
        <v>4497573</v>
      </c>
      <c r="D12" s="25">
        <v>3735673</v>
      </c>
      <c r="E12" s="25">
        <v>188180</v>
      </c>
      <c r="F12" s="25">
        <v>573720</v>
      </c>
      <c r="G12" s="25">
        <v>0</v>
      </c>
      <c r="H12" s="25">
        <f>SUM(I12:K12)</f>
        <v>1450500</v>
      </c>
      <c r="I12" s="25">
        <v>1035524</v>
      </c>
      <c r="J12" s="25">
        <v>390041</v>
      </c>
      <c r="K12" s="25">
        <v>24935</v>
      </c>
      <c r="L12" s="26"/>
      <c r="M12" s="26"/>
      <c r="N12" s="26"/>
    </row>
    <row r="13" spans="1:14" s="27" customFormat="1" ht="18" customHeight="1">
      <c r="A13" s="23" t="s">
        <v>9</v>
      </c>
      <c r="B13" s="24">
        <f aca="true" t="shared" si="1" ref="B13:B28">C13+H13</f>
        <v>4211000</v>
      </c>
      <c r="C13" s="25">
        <f aca="true" t="shared" si="2" ref="C13:C28">SUM(D13:G13)</f>
        <v>4211000</v>
      </c>
      <c r="D13" s="25">
        <v>4211000</v>
      </c>
      <c r="E13" s="25">
        <v>0</v>
      </c>
      <c r="F13" s="25">
        <v>0</v>
      </c>
      <c r="G13" s="25">
        <v>0</v>
      </c>
      <c r="H13" s="25">
        <f aca="true" t="shared" si="3" ref="H13:H28">SUM(I13:K13)</f>
        <v>0</v>
      </c>
      <c r="I13" s="25">
        <v>0</v>
      </c>
      <c r="J13" s="25">
        <v>0</v>
      </c>
      <c r="K13" s="25">
        <v>0</v>
      </c>
      <c r="L13" s="26"/>
      <c r="M13" s="26"/>
      <c r="N13" s="26"/>
    </row>
    <row r="14" spans="1:14" s="27" customFormat="1" ht="18" customHeight="1">
      <c r="A14" s="23" t="s">
        <v>10</v>
      </c>
      <c r="B14" s="24">
        <f t="shared" si="1"/>
        <v>3562798</v>
      </c>
      <c r="C14" s="25">
        <f t="shared" si="2"/>
        <v>3410165</v>
      </c>
      <c r="D14" s="25">
        <v>3333423</v>
      </c>
      <c r="E14" s="25">
        <v>0</v>
      </c>
      <c r="F14" s="25">
        <v>76742</v>
      </c>
      <c r="G14" s="25">
        <v>0</v>
      </c>
      <c r="H14" s="25">
        <f t="shared" si="3"/>
        <v>152633</v>
      </c>
      <c r="I14" s="25">
        <v>142330</v>
      </c>
      <c r="J14" s="25">
        <v>10303</v>
      </c>
      <c r="K14" s="25">
        <v>0</v>
      </c>
      <c r="L14" s="26"/>
      <c r="M14" s="26"/>
      <c r="N14" s="26"/>
    </row>
    <row r="15" spans="1:14" s="27" customFormat="1" ht="18" customHeight="1">
      <c r="A15" s="23" t="s">
        <v>11</v>
      </c>
      <c r="B15" s="24">
        <f t="shared" si="1"/>
        <v>210000</v>
      </c>
      <c r="C15" s="25">
        <f t="shared" si="2"/>
        <v>210000</v>
      </c>
      <c r="D15" s="25">
        <v>210000</v>
      </c>
      <c r="E15" s="25">
        <v>0</v>
      </c>
      <c r="F15" s="25">
        <v>0</v>
      </c>
      <c r="G15" s="25">
        <v>0</v>
      </c>
      <c r="H15" s="25">
        <f t="shared" si="3"/>
        <v>0</v>
      </c>
      <c r="I15" s="25">
        <v>0</v>
      </c>
      <c r="J15" s="25">
        <v>0</v>
      </c>
      <c r="K15" s="25">
        <v>0</v>
      </c>
      <c r="L15" s="26"/>
      <c r="M15" s="26"/>
      <c r="N15" s="26"/>
    </row>
    <row r="16" spans="1:14" s="27" customFormat="1" ht="18" customHeight="1">
      <c r="A16" s="23" t="s">
        <v>12</v>
      </c>
      <c r="B16" s="24">
        <f t="shared" si="1"/>
        <v>2326728</v>
      </c>
      <c r="C16" s="25">
        <f t="shared" si="2"/>
        <v>1913569</v>
      </c>
      <c r="D16" s="25">
        <v>1856849</v>
      </c>
      <c r="E16" s="25">
        <v>0</v>
      </c>
      <c r="F16" s="25">
        <v>0</v>
      </c>
      <c r="G16" s="25">
        <v>56720</v>
      </c>
      <c r="H16" s="25">
        <f t="shared" si="3"/>
        <v>413159</v>
      </c>
      <c r="I16" s="25">
        <v>413159</v>
      </c>
      <c r="J16" s="25">
        <v>0</v>
      </c>
      <c r="K16" s="25">
        <v>0</v>
      </c>
      <c r="L16" s="26"/>
      <c r="M16" s="26"/>
      <c r="N16" s="26"/>
    </row>
    <row r="17" spans="1:14" s="27" customFormat="1" ht="18" customHeight="1">
      <c r="A17" s="23" t="s">
        <v>13</v>
      </c>
      <c r="B17" s="24">
        <f t="shared" si="1"/>
        <v>16531689</v>
      </c>
      <c r="C17" s="25">
        <f t="shared" si="2"/>
        <v>14272039</v>
      </c>
      <c r="D17" s="25">
        <v>11491630</v>
      </c>
      <c r="E17" s="25">
        <v>2780346</v>
      </c>
      <c r="F17" s="25">
        <v>63</v>
      </c>
      <c r="G17" s="25">
        <v>0</v>
      </c>
      <c r="H17" s="25">
        <f t="shared" si="3"/>
        <v>2259650</v>
      </c>
      <c r="I17" s="25">
        <v>432120</v>
      </c>
      <c r="J17" s="25">
        <v>1827112</v>
      </c>
      <c r="K17" s="25">
        <v>418</v>
      </c>
      <c r="L17" s="26"/>
      <c r="M17" s="26"/>
      <c r="N17" s="26"/>
    </row>
    <row r="18" spans="1:14" s="27" customFormat="1" ht="18" customHeight="1">
      <c r="A18" s="23" t="s">
        <v>14</v>
      </c>
      <c r="B18" s="24">
        <f t="shared" si="1"/>
        <v>39633078</v>
      </c>
      <c r="C18" s="25">
        <f t="shared" si="2"/>
        <v>21935072</v>
      </c>
      <c r="D18" s="25">
        <v>18863034</v>
      </c>
      <c r="E18" s="25">
        <v>2828634</v>
      </c>
      <c r="F18" s="25">
        <v>243404</v>
      </c>
      <c r="G18" s="25">
        <v>0</v>
      </c>
      <c r="H18" s="25">
        <f t="shared" si="3"/>
        <v>17698006</v>
      </c>
      <c r="I18" s="25">
        <v>10313899</v>
      </c>
      <c r="J18" s="25">
        <v>7266687</v>
      </c>
      <c r="K18" s="25">
        <v>117420</v>
      </c>
      <c r="L18" s="26"/>
      <c r="M18" s="26"/>
      <c r="N18" s="26"/>
    </row>
    <row r="19" spans="1:14" s="27" customFormat="1" ht="18" customHeight="1">
      <c r="A19" s="23" t="s">
        <v>15</v>
      </c>
      <c r="B19" s="24">
        <f t="shared" si="1"/>
        <v>2056419</v>
      </c>
      <c r="C19" s="25">
        <f t="shared" si="2"/>
        <v>904091</v>
      </c>
      <c r="D19" s="25">
        <v>904091</v>
      </c>
      <c r="E19" s="25">
        <v>0</v>
      </c>
      <c r="F19" s="25">
        <v>0</v>
      </c>
      <c r="G19" s="25">
        <v>0</v>
      </c>
      <c r="H19" s="25">
        <f t="shared" si="3"/>
        <v>1152328</v>
      </c>
      <c r="I19" s="25">
        <v>1152328</v>
      </c>
      <c r="J19" s="25">
        <v>0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16</v>
      </c>
      <c r="B20" s="24">
        <f t="shared" si="1"/>
        <v>8809414</v>
      </c>
      <c r="C20" s="25">
        <f t="shared" si="2"/>
        <v>7921054</v>
      </c>
      <c r="D20" s="25">
        <v>7921054</v>
      </c>
      <c r="E20" s="25">
        <v>0</v>
      </c>
      <c r="F20" s="25">
        <v>0</v>
      </c>
      <c r="G20" s="25">
        <v>0</v>
      </c>
      <c r="H20" s="25">
        <f t="shared" si="3"/>
        <v>888360</v>
      </c>
      <c r="I20" s="25">
        <v>869059</v>
      </c>
      <c r="J20" s="25">
        <v>19301</v>
      </c>
      <c r="K20" s="25">
        <v>0</v>
      </c>
      <c r="L20" s="26"/>
      <c r="M20" s="26"/>
      <c r="N20" s="26"/>
    </row>
    <row r="21" spans="1:14" s="27" customFormat="1" ht="18" customHeight="1">
      <c r="A21" s="23" t="s">
        <v>17</v>
      </c>
      <c r="B21" s="24">
        <f t="shared" si="1"/>
        <v>1573951</v>
      </c>
      <c r="C21" s="25">
        <f t="shared" si="2"/>
        <v>1493682</v>
      </c>
      <c r="D21" s="25">
        <v>1493682</v>
      </c>
      <c r="E21" s="25">
        <v>0</v>
      </c>
      <c r="F21" s="25">
        <v>0</v>
      </c>
      <c r="G21" s="25">
        <v>0</v>
      </c>
      <c r="H21" s="25">
        <f t="shared" si="3"/>
        <v>80269</v>
      </c>
      <c r="I21" s="25">
        <v>72259</v>
      </c>
      <c r="J21" s="25">
        <v>8010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18</v>
      </c>
      <c r="B22" s="24">
        <f t="shared" si="1"/>
        <v>3217921</v>
      </c>
      <c r="C22" s="25">
        <f t="shared" si="2"/>
        <v>810154</v>
      </c>
      <c r="D22" s="25">
        <v>810154</v>
      </c>
      <c r="E22" s="25">
        <v>0</v>
      </c>
      <c r="F22" s="25">
        <v>0</v>
      </c>
      <c r="G22" s="25">
        <v>0</v>
      </c>
      <c r="H22" s="25">
        <f t="shared" si="3"/>
        <v>2407767</v>
      </c>
      <c r="I22" s="25">
        <f>267423</f>
        <v>267423</v>
      </c>
      <c r="J22" s="25">
        <v>2139617</v>
      </c>
      <c r="K22" s="25">
        <v>727</v>
      </c>
      <c r="L22" s="26"/>
      <c r="M22" s="26"/>
      <c r="N22" s="26"/>
    </row>
    <row r="23" spans="1:14" s="27" customFormat="1" ht="18" customHeight="1">
      <c r="A23" s="23" t="s">
        <v>19</v>
      </c>
      <c r="B23" s="24">
        <f t="shared" si="1"/>
        <v>7296082</v>
      </c>
      <c r="C23" s="25">
        <f t="shared" si="2"/>
        <v>4716774</v>
      </c>
      <c r="D23" s="25">
        <v>4716774</v>
      </c>
      <c r="E23" s="25">
        <v>0</v>
      </c>
      <c r="F23" s="25">
        <v>0</v>
      </c>
      <c r="G23" s="25">
        <v>0</v>
      </c>
      <c r="H23" s="25">
        <f t="shared" si="3"/>
        <v>2579308</v>
      </c>
      <c r="I23" s="28">
        <v>2266131</v>
      </c>
      <c r="J23" s="28">
        <v>313177</v>
      </c>
      <c r="K23" s="28">
        <v>0</v>
      </c>
      <c r="L23" s="26"/>
      <c r="M23" s="26"/>
      <c r="N23" s="26"/>
    </row>
    <row r="24" spans="1:14" s="27" customFormat="1" ht="18" customHeight="1">
      <c r="A24" s="23" t="s">
        <v>20</v>
      </c>
      <c r="B24" s="24">
        <f t="shared" si="1"/>
        <v>2020998</v>
      </c>
      <c r="C24" s="25">
        <f t="shared" si="2"/>
        <v>1661488</v>
      </c>
      <c r="D24" s="25">
        <v>1661488</v>
      </c>
      <c r="E24" s="25">
        <v>0</v>
      </c>
      <c r="F24" s="25">
        <v>0</v>
      </c>
      <c r="G24" s="25">
        <v>0</v>
      </c>
      <c r="H24" s="25">
        <f t="shared" si="3"/>
        <v>359510</v>
      </c>
      <c r="I24" s="28">
        <v>72531</v>
      </c>
      <c r="J24" s="28">
        <v>286979</v>
      </c>
      <c r="K24" s="28">
        <v>0</v>
      </c>
      <c r="L24" s="26"/>
      <c r="M24" s="26"/>
      <c r="N24" s="26"/>
    </row>
    <row r="25" spans="1:14" s="27" customFormat="1" ht="18" customHeight="1">
      <c r="A25" s="23" t="s">
        <v>21</v>
      </c>
      <c r="B25" s="24">
        <f t="shared" si="1"/>
        <v>1216416</v>
      </c>
      <c r="C25" s="25">
        <f t="shared" si="2"/>
        <v>972512</v>
      </c>
      <c r="D25" s="25">
        <v>972512</v>
      </c>
      <c r="E25" s="25">
        <v>0</v>
      </c>
      <c r="F25" s="25">
        <v>0</v>
      </c>
      <c r="G25" s="25">
        <v>0</v>
      </c>
      <c r="H25" s="25">
        <f t="shared" si="3"/>
        <v>243904</v>
      </c>
      <c r="I25" s="28">
        <v>186628</v>
      </c>
      <c r="J25" s="28">
        <v>57276</v>
      </c>
      <c r="K25" s="28">
        <v>0</v>
      </c>
      <c r="L25" s="26"/>
      <c r="M25" s="26"/>
      <c r="N25" s="26"/>
    </row>
    <row r="26" spans="1:14" s="27" customFormat="1" ht="18" customHeight="1">
      <c r="A26" s="23" t="s">
        <v>34</v>
      </c>
      <c r="B26" s="24">
        <f t="shared" si="1"/>
        <v>3994595</v>
      </c>
      <c r="C26" s="25">
        <f t="shared" si="2"/>
        <v>2273608</v>
      </c>
      <c r="D26" s="25">
        <f>2218083+55525</f>
        <v>2273608</v>
      </c>
      <c r="E26" s="25">
        <v>0</v>
      </c>
      <c r="F26" s="25">
        <v>0</v>
      </c>
      <c r="G26" s="25">
        <v>0</v>
      </c>
      <c r="H26" s="25">
        <f t="shared" si="3"/>
        <v>1720987</v>
      </c>
      <c r="I26" s="25">
        <v>109214</v>
      </c>
      <c r="J26" s="25">
        <v>1611773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22</v>
      </c>
      <c r="B27" s="24">
        <f t="shared" si="1"/>
        <v>48441</v>
      </c>
      <c r="C27" s="25">
        <f t="shared" si="2"/>
        <v>41806</v>
      </c>
      <c r="D27" s="25">
        <v>41806</v>
      </c>
      <c r="E27" s="25">
        <v>0</v>
      </c>
      <c r="F27" s="25">
        <v>0</v>
      </c>
      <c r="G27" s="25">
        <v>0</v>
      </c>
      <c r="H27" s="25">
        <f t="shared" si="3"/>
        <v>6635</v>
      </c>
      <c r="I27" s="28">
        <v>6635</v>
      </c>
      <c r="J27" s="28">
        <v>0</v>
      </c>
      <c r="K27" s="28">
        <v>0</v>
      </c>
      <c r="L27" s="26"/>
      <c r="M27" s="26"/>
      <c r="N27" s="26"/>
    </row>
    <row r="28" spans="1:14" s="27" customFormat="1" ht="18" customHeight="1">
      <c r="A28" s="29" t="s">
        <v>23</v>
      </c>
      <c r="B28" s="30">
        <f t="shared" si="1"/>
        <v>46457</v>
      </c>
      <c r="C28" s="31">
        <f t="shared" si="2"/>
        <v>46457</v>
      </c>
      <c r="D28" s="32">
        <v>46457</v>
      </c>
      <c r="E28" s="32">
        <v>0</v>
      </c>
      <c r="F28" s="32">
        <v>0</v>
      </c>
      <c r="G28" s="32">
        <v>0</v>
      </c>
      <c r="H28" s="31">
        <f t="shared" si="3"/>
        <v>0</v>
      </c>
      <c r="I28" s="32">
        <v>0</v>
      </c>
      <c r="J28" s="32">
        <v>0</v>
      </c>
      <c r="K28" s="32">
        <v>0</v>
      </c>
      <c r="L28" s="26"/>
      <c r="M28" s="26"/>
      <c r="N28" s="26"/>
    </row>
    <row r="29" spans="1:14" s="27" customFormat="1" ht="18" customHeight="1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26"/>
      <c r="N29" s="26"/>
    </row>
    <row r="30" spans="1:14" s="27" customFormat="1" ht="16.5" customHeight="1">
      <c r="A30" s="33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6"/>
      <c r="M30" s="26"/>
      <c r="N30" s="26"/>
    </row>
    <row r="31" spans="1:14" s="27" customFormat="1" ht="31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6"/>
      <c r="M31" s="26"/>
      <c r="N31" s="26"/>
    </row>
    <row r="32" spans="1:14" s="27" customFormat="1" ht="25.5" customHeight="1" thickBot="1">
      <c r="A32" s="2" t="s">
        <v>0</v>
      </c>
      <c r="B32" s="37"/>
      <c r="C32" s="17"/>
      <c r="D32" s="37"/>
      <c r="E32" s="51" t="s">
        <v>38</v>
      </c>
      <c r="F32" s="51"/>
      <c r="G32" s="37"/>
      <c r="H32" s="37"/>
      <c r="I32" s="37"/>
      <c r="J32" s="37"/>
      <c r="K32" s="37"/>
      <c r="L32" s="26"/>
      <c r="M32" s="26"/>
      <c r="N32" s="26"/>
    </row>
    <row r="33" spans="1:14" s="27" customFormat="1" ht="18" customHeight="1" thickTop="1">
      <c r="A33" s="52" t="s">
        <v>1</v>
      </c>
      <c r="B33" s="54" t="s">
        <v>2</v>
      </c>
      <c r="C33" s="49" t="s">
        <v>24</v>
      </c>
      <c r="D33" s="50"/>
      <c r="E33" s="50"/>
      <c r="F33" s="50"/>
      <c r="G33" s="56"/>
      <c r="H33" s="49" t="s">
        <v>37</v>
      </c>
      <c r="I33" s="50"/>
      <c r="J33" s="50"/>
      <c r="K33" s="50"/>
      <c r="L33" s="26"/>
      <c r="M33" s="26"/>
      <c r="N33" s="26"/>
    </row>
    <row r="34" spans="1:14" s="5" customFormat="1" ht="18" customHeight="1">
      <c r="A34" s="53"/>
      <c r="B34" s="55"/>
      <c r="C34" s="38" t="s">
        <v>2</v>
      </c>
      <c r="D34" s="39" t="s">
        <v>25</v>
      </c>
      <c r="E34" s="40" t="s">
        <v>26</v>
      </c>
      <c r="F34" s="40" t="s">
        <v>27</v>
      </c>
      <c r="G34" s="40" t="s">
        <v>28</v>
      </c>
      <c r="H34" s="38" t="s">
        <v>2</v>
      </c>
      <c r="I34" s="39" t="s">
        <v>26</v>
      </c>
      <c r="J34" s="40" t="s">
        <v>27</v>
      </c>
      <c r="K34" s="40" t="s">
        <v>28</v>
      </c>
      <c r="L34" s="18"/>
      <c r="M34" s="18"/>
      <c r="N34" s="18"/>
    </row>
    <row r="35" spans="1:14" s="5" customFormat="1" ht="18" customHeight="1">
      <c r="A35" s="41" t="s">
        <v>33</v>
      </c>
      <c r="B35" s="24">
        <v>80911292</v>
      </c>
      <c r="C35" s="42">
        <v>58732737</v>
      </c>
      <c r="D35" s="28">
        <v>31929517</v>
      </c>
      <c r="E35" s="28">
        <v>24889116</v>
      </c>
      <c r="F35" s="28">
        <v>1914104</v>
      </c>
      <c r="G35" s="28">
        <v>0</v>
      </c>
      <c r="H35" s="42">
        <v>22178555</v>
      </c>
      <c r="I35" s="28">
        <v>19925122</v>
      </c>
      <c r="J35" s="28">
        <v>2024950</v>
      </c>
      <c r="K35" s="28">
        <v>228483</v>
      </c>
      <c r="L35" s="18"/>
      <c r="M35" s="18"/>
      <c r="N35" s="18"/>
    </row>
    <row r="36" spans="1:14" s="16" customFormat="1" ht="18" customHeight="1">
      <c r="A36" s="41">
        <v>18</v>
      </c>
      <c r="B36" s="24">
        <v>80804378</v>
      </c>
      <c r="C36" s="28">
        <v>59013937</v>
      </c>
      <c r="D36" s="28">
        <v>31889923</v>
      </c>
      <c r="E36" s="28">
        <v>25436284</v>
      </c>
      <c r="F36" s="28">
        <v>1687730</v>
      </c>
      <c r="G36" s="28">
        <v>0</v>
      </c>
      <c r="H36" s="28">
        <v>21790441</v>
      </c>
      <c r="I36" s="28">
        <v>19799025</v>
      </c>
      <c r="J36" s="28">
        <v>1948204</v>
      </c>
      <c r="K36" s="28">
        <v>43212</v>
      </c>
      <c r="L36" s="15"/>
      <c r="M36" s="15"/>
      <c r="N36" s="15"/>
    </row>
    <row r="37" spans="1:14" s="16" customFormat="1" ht="18" customHeight="1">
      <c r="A37" s="22">
        <v>19</v>
      </c>
      <c r="B37" s="20">
        <v>69851802</v>
      </c>
      <c r="C37" s="21">
        <v>52375176</v>
      </c>
      <c r="D37" s="21">
        <v>27873425</v>
      </c>
      <c r="E37" s="21">
        <v>22437899</v>
      </c>
      <c r="F37" s="21">
        <v>2063852</v>
      </c>
      <c r="G37" s="21">
        <v>0</v>
      </c>
      <c r="H37" s="21">
        <v>17476626</v>
      </c>
      <c r="I37" s="21">
        <v>16079839</v>
      </c>
      <c r="J37" s="21">
        <v>1342848</v>
      </c>
      <c r="K37" s="21">
        <v>53939</v>
      </c>
      <c r="L37" s="15"/>
      <c r="M37" s="15"/>
      <c r="N37" s="15"/>
    </row>
    <row r="38" spans="1:14" s="16" customFormat="1" ht="18" customHeight="1">
      <c r="A38" s="22">
        <v>20</v>
      </c>
      <c r="B38" s="20">
        <v>61733402</v>
      </c>
      <c r="C38" s="21">
        <v>46043641</v>
      </c>
      <c r="D38" s="21">
        <v>25852254</v>
      </c>
      <c r="E38" s="21">
        <v>18678964</v>
      </c>
      <c r="F38" s="21">
        <v>1512423</v>
      </c>
      <c r="G38" s="21">
        <v>0</v>
      </c>
      <c r="H38" s="21">
        <v>15689761</v>
      </c>
      <c r="I38" s="21">
        <v>14354048</v>
      </c>
      <c r="J38" s="21">
        <v>1281349</v>
      </c>
      <c r="K38" s="21">
        <v>54364</v>
      </c>
      <c r="L38" s="15"/>
      <c r="M38" s="15"/>
      <c r="N38" s="15"/>
    </row>
    <row r="39" spans="1:14" s="27" customFormat="1" ht="18" customHeight="1">
      <c r="A39" s="22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6"/>
      <c r="M39" s="26"/>
      <c r="N39" s="26"/>
    </row>
    <row r="40" spans="1:14" s="27" customFormat="1" ht="18" customHeight="1">
      <c r="A40" s="22">
        <v>21</v>
      </c>
      <c r="B40" s="21">
        <f>SUM(B42:B58)</f>
        <v>102704060</v>
      </c>
      <c r="C40" s="21">
        <f>SUM(C42:C58)</f>
        <v>71291044</v>
      </c>
      <c r="D40" s="21">
        <f aca="true" t="shared" si="4" ref="D40:K40">SUM(D42:D58)</f>
        <v>40632743</v>
      </c>
      <c r="E40" s="21">
        <f t="shared" si="4"/>
        <v>19739115</v>
      </c>
      <c r="F40" s="21">
        <f t="shared" si="4"/>
        <v>10195441</v>
      </c>
      <c r="G40" s="21">
        <f>SUM(G42:G58)</f>
        <v>723745</v>
      </c>
      <c r="H40" s="21">
        <f t="shared" si="4"/>
        <v>31413016</v>
      </c>
      <c r="I40" s="21">
        <f t="shared" si="4"/>
        <v>13812748</v>
      </c>
      <c r="J40" s="21">
        <f t="shared" si="4"/>
        <v>16938347</v>
      </c>
      <c r="K40" s="21">
        <f t="shared" si="4"/>
        <v>661921</v>
      </c>
      <c r="L40" s="26"/>
      <c r="M40" s="26"/>
      <c r="N40" s="26"/>
    </row>
    <row r="41" spans="1:14" s="16" customFormat="1" ht="18" customHeight="1">
      <c r="A41" s="43"/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15"/>
      <c r="M41" s="15"/>
      <c r="N41" s="15"/>
    </row>
    <row r="42" spans="1:14" s="27" customFormat="1" ht="18" customHeight="1">
      <c r="A42" s="23" t="s">
        <v>8</v>
      </c>
      <c r="B42" s="24">
        <f>C42+H42</f>
        <v>5948073</v>
      </c>
      <c r="C42" s="25">
        <f>SUM(D42:G42)</f>
        <v>4497573</v>
      </c>
      <c r="D42" s="25">
        <f>1867845+94090+383314</f>
        <v>2345249</v>
      </c>
      <c r="E42" s="25">
        <f>1848828+94090+167045</f>
        <v>2109963</v>
      </c>
      <c r="F42" s="48">
        <f>19000+20361</f>
        <v>39361</v>
      </c>
      <c r="G42" s="28">
        <f>3000</f>
        <v>3000</v>
      </c>
      <c r="H42" s="25">
        <f>SUM(I42:K42)</f>
        <v>1450500</v>
      </c>
      <c r="I42" s="25">
        <f>861294+24641</f>
        <v>885935</v>
      </c>
      <c r="J42" s="25">
        <f>174230+365400+24935</f>
        <v>564565</v>
      </c>
      <c r="K42" s="25">
        <v>0</v>
      </c>
      <c r="L42" s="26"/>
      <c r="M42" s="26"/>
      <c r="N42" s="26"/>
    </row>
    <row r="43" spans="1:14" s="27" customFormat="1" ht="18" customHeight="1">
      <c r="A43" s="23" t="s">
        <v>9</v>
      </c>
      <c r="B43" s="24">
        <f aca="true" t="shared" si="5" ref="B43:B58">C43+H43</f>
        <v>4211000</v>
      </c>
      <c r="C43" s="25">
        <f aca="true" t="shared" si="6" ref="C43:C58">SUM(D43:G43)</f>
        <v>4211000</v>
      </c>
      <c r="D43" s="25">
        <f>2316050</f>
        <v>2316050</v>
      </c>
      <c r="E43" s="25">
        <v>1894950</v>
      </c>
      <c r="F43" s="25">
        <v>0</v>
      </c>
      <c r="G43" s="28">
        <v>0</v>
      </c>
      <c r="H43" s="25">
        <f aca="true" t="shared" si="7" ref="H43:H58">SUM(I43:K43)</f>
        <v>0</v>
      </c>
      <c r="I43" s="25">
        <v>0</v>
      </c>
      <c r="J43" s="25">
        <v>0</v>
      </c>
      <c r="K43" s="25">
        <v>0</v>
      </c>
      <c r="L43" s="26"/>
      <c r="M43" s="26"/>
      <c r="N43" s="26"/>
    </row>
    <row r="44" spans="1:14" s="27" customFormat="1" ht="18" customHeight="1">
      <c r="A44" s="23" t="s">
        <v>10</v>
      </c>
      <c r="B44" s="24">
        <f t="shared" si="5"/>
        <v>3562798</v>
      </c>
      <c r="C44" s="25">
        <f t="shared" si="6"/>
        <v>3410165</v>
      </c>
      <c r="D44" s="25">
        <f>1724493+51249</f>
        <v>1775742</v>
      </c>
      <c r="E44" s="25">
        <f>1608930+25493</f>
        <v>1634423</v>
      </c>
      <c r="F44" s="25">
        <v>0</v>
      </c>
      <c r="G44" s="28">
        <v>0</v>
      </c>
      <c r="H44" s="25">
        <f t="shared" si="7"/>
        <v>152633</v>
      </c>
      <c r="I44" s="25">
        <f>138310+10303</f>
        <v>148613</v>
      </c>
      <c r="J44" s="25">
        <v>3391</v>
      </c>
      <c r="K44" s="25">
        <v>629</v>
      </c>
      <c r="L44" s="26"/>
      <c r="M44" s="26"/>
      <c r="N44" s="26"/>
    </row>
    <row r="45" spans="1:14" s="27" customFormat="1" ht="18" customHeight="1">
      <c r="A45" s="23" t="s">
        <v>11</v>
      </c>
      <c r="B45" s="24">
        <f t="shared" si="5"/>
        <v>210000</v>
      </c>
      <c r="C45" s="25">
        <f t="shared" si="6"/>
        <v>210000</v>
      </c>
      <c r="D45" s="25">
        <f>80000</f>
        <v>80000</v>
      </c>
      <c r="E45" s="25">
        <v>115300</v>
      </c>
      <c r="F45" s="25">
        <v>14700</v>
      </c>
      <c r="G45" s="28">
        <v>0</v>
      </c>
      <c r="H45" s="25">
        <f t="shared" si="7"/>
        <v>0</v>
      </c>
      <c r="I45" s="25">
        <v>0</v>
      </c>
      <c r="J45" s="25">
        <v>0</v>
      </c>
      <c r="K45" s="25">
        <v>0</v>
      </c>
      <c r="L45" s="26"/>
      <c r="M45" s="26"/>
      <c r="N45" s="26"/>
    </row>
    <row r="46" spans="1:14" s="27" customFormat="1" ht="18" customHeight="1">
      <c r="A46" s="23" t="s">
        <v>12</v>
      </c>
      <c r="B46" s="24">
        <f t="shared" si="5"/>
        <v>2326728</v>
      </c>
      <c r="C46" s="25">
        <f t="shared" si="6"/>
        <v>1913569</v>
      </c>
      <c r="D46" s="25">
        <f>819242+26942</f>
        <v>846184</v>
      </c>
      <c r="E46" s="25">
        <f>856800+26942</f>
        <v>883742</v>
      </c>
      <c r="F46" s="25">
        <f>179457+2836</f>
        <v>182293</v>
      </c>
      <c r="G46" s="28">
        <v>1350</v>
      </c>
      <c r="H46" s="25">
        <f t="shared" si="7"/>
        <v>413159</v>
      </c>
      <c r="I46" s="25">
        <v>273285</v>
      </c>
      <c r="J46" s="25">
        <v>133452</v>
      </c>
      <c r="K46" s="25">
        <v>6422</v>
      </c>
      <c r="L46" s="26"/>
      <c r="M46" s="26"/>
      <c r="N46" s="26"/>
    </row>
    <row r="47" spans="1:14" s="27" customFormat="1" ht="18" customHeight="1">
      <c r="A47" s="23" t="s">
        <v>13</v>
      </c>
      <c r="B47" s="24">
        <f t="shared" si="5"/>
        <v>16531689</v>
      </c>
      <c r="C47" s="25">
        <f t="shared" si="6"/>
        <v>14272039</v>
      </c>
      <c r="D47" s="25">
        <f>6839030+1453215+63</f>
        <v>8292308</v>
      </c>
      <c r="E47" s="25">
        <f>4652600+1327131</f>
        <v>5979731</v>
      </c>
      <c r="F47" s="25">
        <v>0</v>
      </c>
      <c r="G47" s="28">
        <v>0</v>
      </c>
      <c r="H47" s="25">
        <f t="shared" si="7"/>
        <v>2259650</v>
      </c>
      <c r="I47" s="25">
        <f>404863+1827112+418</f>
        <v>2232393</v>
      </c>
      <c r="J47" s="25">
        <f>27257</f>
        <v>27257</v>
      </c>
      <c r="K47" s="25">
        <v>0</v>
      </c>
      <c r="L47" s="26"/>
      <c r="M47" s="26"/>
      <c r="N47" s="26"/>
    </row>
    <row r="48" spans="1:14" s="27" customFormat="1" ht="18" customHeight="1">
      <c r="A48" s="23" t="s">
        <v>14</v>
      </c>
      <c r="B48" s="24">
        <f t="shared" si="5"/>
        <v>39633078</v>
      </c>
      <c r="C48" s="25">
        <f t="shared" si="6"/>
        <v>21935072</v>
      </c>
      <c r="D48" s="25">
        <f>11971110+1624657+161955</f>
        <v>13757722</v>
      </c>
      <c r="E48" s="44">
        <f>4374443+779851+10773</f>
        <v>5165067</v>
      </c>
      <c r="F48" s="25">
        <f>2487981+424126+56476</f>
        <v>2968583</v>
      </c>
      <c r="G48" s="28">
        <f>29500+14200</f>
        <v>43700</v>
      </c>
      <c r="H48" s="25">
        <f t="shared" si="7"/>
        <v>17698006</v>
      </c>
      <c r="I48" s="25">
        <f>5491124+3989637+4270</f>
        <v>9485031</v>
      </c>
      <c r="J48" s="25">
        <f>4754116+3249049+113150</f>
        <v>8116315</v>
      </c>
      <c r="K48" s="25">
        <f>68659+28001</f>
        <v>96660</v>
      </c>
      <c r="L48" s="26"/>
      <c r="M48" s="26"/>
      <c r="N48" s="26"/>
    </row>
    <row r="49" spans="1:14" s="27" customFormat="1" ht="18" customHeight="1">
      <c r="A49" s="23" t="s">
        <v>15</v>
      </c>
      <c r="B49" s="24">
        <f t="shared" si="5"/>
        <v>2056419</v>
      </c>
      <c r="C49" s="25">
        <f t="shared" si="6"/>
        <v>904091</v>
      </c>
      <c r="D49" s="25">
        <v>460677</v>
      </c>
      <c r="E49" s="25">
        <v>0</v>
      </c>
      <c r="F49" s="25">
        <v>443414</v>
      </c>
      <c r="G49" s="28">
        <v>0</v>
      </c>
      <c r="H49" s="25">
        <f t="shared" si="7"/>
        <v>1152328</v>
      </c>
      <c r="I49" s="25">
        <v>0</v>
      </c>
      <c r="J49" s="25">
        <v>1136800</v>
      </c>
      <c r="K49" s="25">
        <v>15528</v>
      </c>
      <c r="L49" s="26"/>
      <c r="M49" s="26"/>
      <c r="N49" s="26"/>
    </row>
    <row r="50" spans="1:14" s="27" customFormat="1" ht="18" customHeight="1">
      <c r="A50" s="23" t="s">
        <v>16</v>
      </c>
      <c r="B50" s="24">
        <f t="shared" si="5"/>
        <v>8809414</v>
      </c>
      <c r="C50" s="25">
        <f t="shared" si="6"/>
        <v>7921054</v>
      </c>
      <c r="D50" s="25">
        <f>4569572</f>
        <v>4569572</v>
      </c>
      <c r="E50" s="25">
        <v>1360728</v>
      </c>
      <c r="F50" s="25">
        <v>1859954</v>
      </c>
      <c r="G50" s="28">
        <v>130800</v>
      </c>
      <c r="H50" s="25">
        <f t="shared" si="7"/>
        <v>888360</v>
      </c>
      <c r="I50" s="25">
        <f>283820+3298</f>
        <v>287118</v>
      </c>
      <c r="J50" s="25">
        <f>583390+15996</f>
        <v>599386</v>
      </c>
      <c r="K50" s="25">
        <f>1849+7</f>
        <v>1856</v>
      </c>
      <c r="L50" s="26"/>
      <c r="M50" s="26"/>
      <c r="N50" s="26"/>
    </row>
    <row r="51" spans="1:14" s="27" customFormat="1" ht="18" customHeight="1">
      <c r="A51" s="23" t="s">
        <v>17</v>
      </c>
      <c r="B51" s="24">
        <f t="shared" si="5"/>
        <v>1573951</v>
      </c>
      <c r="C51" s="25">
        <f t="shared" si="6"/>
        <v>1493682</v>
      </c>
      <c r="D51" s="25">
        <v>691454</v>
      </c>
      <c r="E51" s="25">
        <v>0</v>
      </c>
      <c r="F51" s="25">
        <v>690694</v>
      </c>
      <c r="G51" s="28">
        <v>111534</v>
      </c>
      <c r="H51" s="25">
        <f t="shared" si="7"/>
        <v>80269</v>
      </c>
      <c r="I51" s="25">
        <v>0</v>
      </c>
      <c r="J51" s="25">
        <f>72259+8010</f>
        <v>80269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18</v>
      </c>
      <c r="B52" s="24">
        <f t="shared" si="5"/>
        <v>3217921</v>
      </c>
      <c r="C52" s="25">
        <f t="shared" si="6"/>
        <v>810154</v>
      </c>
      <c r="D52" s="25">
        <f>367474</f>
        <v>367474</v>
      </c>
      <c r="E52" s="25">
        <v>0</v>
      </c>
      <c r="F52" s="25">
        <v>343280</v>
      </c>
      <c r="G52" s="28">
        <v>99400</v>
      </c>
      <c r="H52" s="25">
        <f t="shared" si="7"/>
        <v>2407767</v>
      </c>
      <c r="I52" s="25">
        <f>27978+295338</f>
        <v>323316</v>
      </c>
      <c r="J52" s="25">
        <f>237438+1637150+727</f>
        <v>1875315</v>
      </c>
      <c r="K52" s="25">
        <f>2007+207129</f>
        <v>209136</v>
      </c>
      <c r="L52" s="26"/>
      <c r="M52" s="26"/>
      <c r="N52" s="26"/>
    </row>
    <row r="53" spans="1:14" s="27" customFormat="1" ht="18" customHeight="1">
      <c r="A53" s="23" t="s">
        <v>19</v>
      </c>
      <c r="B53" s="24">
        <f t="shared" si="5"/>
        <v>7296082</v>
      </c>
      <c r="C53" s="25">
        <f t="shared" si="6"/>
        <v>4716774</v>
      </c>
      <c r="D53" s="25">
        <v>2549873</v>
      </c>
      <c r="E53" s="25">
        <v>17550</v>
      </c>
      <c r="F53" s="25">
        <v>1912216</v>
      </c>
      <c r="G53" s="28">
        <v>237135</v>
      </c>
      <c r="H53" s="25">
        <f t="shared" si="7"/>
        <v>2579308</v>
      </c>
      <c r="I53" s="25">
        <v>0</v>
      </c>
      <c r="J53" s="25">
        <f>2177781+179422</f>
        <v>2357203</v>
      </c>
      <c r="K53" s="25">
        <f>88350+133755</f>
        <v>222105</v>
      </c>
      <c r="L53" s="26"/>
      <c r="M53" s="26"/>
      <c r="N53" s="26"/>
    </row>
    <row r="54" spans="1:14" s="27" customFormat="1" ht="18" customHeight="1">
      <c r="A54" s="23" t="s">
        <v>20</v>
      </c>
      <c r="B54" s="24">
        <f t="shared" si="5"/>
        <v>2020998</v>
      </c>
      <c r="C54" s="25">
        <f t="shared" si="6"/>
        <v>1661488</v>
      </c>
      <c r="D54" s="25">
        <v>1069266</v>
      </c>
      <c r="E54" s="25">
        <v>30825</v>
      </c>
      <c r="F54" s="25">
        <v>561397</v>
      </c>
      <c r="G54" s="28">
        <v>0</v>
      </c>
      <c r="H54" s="25">
        <f t="shared" si="7"/>
        <v>359510</v>
      </c>
      <c r="I54" s="25">
        <v>0</v>
      </c>
      <c r="J54" s="25">
        <f>72531+286979</f>
        <v>359510</v>
      </c>
      <c r="K54" s="25">
        <v>0</v>
      </c>
      <c r="L54" s="26"/>
      <c r="M54" s="26"/>
      <c r="N54" s="26"/>
    </row>
    <row r="55" spans="1:14" s="27" customFormat="1" ht="18" customHeight="1">
      <c r="A55" s="23" t="s">
        <v>21</v>
      </c>
      <c r="B55" s="24">
        <f t="shared" si="5"/>
        <v>1216416</v>
      </c>
      <c r="C55" s="25">
        <f t="shared" si="6"/>
        <v>972512</v>
      </c>
      <c r="D55" s="25">
        <v>408918</v>
      </c>
      <c r="E55" s="25">
        <v>0</v>
      </c>
      <c r="F55" s="25">
        <v>542994</v>
      </c>
      <c r="G55" s="28">
        <v>20600</v>
      </c>
      <c r="H55" s="25">
        <f t="shared" si="7"/>
        <v>243904</v>
      </c>
      <c r="I55" s="25">
        <v>0</v>
      </c>
      <c r="J55" s="25">
        <f>186628+57276</f>
        <v>243904</v>
      </c>
      <c r="K55" s="25">
        <v>0</v>
      </c>
      <c r="L55" s="26"/>
      <c r="M55" s="26"/>
      <c r="N55" s="26"/>
    </row>
    <row r="56" spans="1:14" s="27" customFormat="1" ht="18" customHeight="1">
      <c r="A56" s="23" t="s">
        <v>34</v>
      </c>
      <c r="B56" s="24">
        <f t="shared" si="5"/>
        <v>3994595</v>
      </c>
      <c r="C56" s="25">
        <f t="shared" si="6"/>
        <v>2273608</v>
      </c>
      <c r="D56" s="25">
        <f>1039026+31356</f>
        <v>1070382</v>
      </c>
      <c r="E56" s="25">
        <f>522667+24169</f>
        <v>546836</v>
      </c>
      <c r="F56" s="25">
        <f>580164</f>
        <v>580164</v>
      </c>
      <c r="G56" s="28">
        <v>76226</v>
      </c>
      <c r="H56" s="25">
        <f t="shared" si="7"/>
        <v>1720987</v>
      </c>
      <c r="I56" s="25">
        <v>177057</v>
      </c>
      <c r="J56" s="25">
        <f>82510+1351835</f>
        <v>1434345</v>
      </c>
      <c r="K56" s="25">
        <f>26704+82881</f>
        <v>109585</v>
      </c>
      <c r="L56" s="26"/>
      <c r="M56" s="26"/>
      <c r="N56" s="26"/>
    </row>
    <row r="57" spans="1:11" s="27" customFormat="1" ht="16.5" customHeight="1">
      <c r="A57" s="23" t="s">
        <v>22</v>
      </c>
      <c r="B57" s="24">
        <f t="shared" si="5"/>
        <v>48441</v>
      </c>
      <c r="C57" s="25">
        <f t="shared" si="6"/>
        <v>41806</v>
      </c>
      <c r="D57" s="25">
        <v>10967</v>
      </c>
      <c r="E57" s="25">
        <v>0</v>
      </c>
      <c r="F57" s="25">
        <v>30839</v>
      </c>
      <c r="G57" s="28">
        <v>0</v>
      </c>
      <c r="H57" s="25">
        <f t="shared" si="7"/>
        <v>6635</v>
      </c>
      <c r="I57" s="25">
        <v>0</v>
      </c>
      <c r="J57" s="25">
        <v>6635</v>
      </c>
      <c r="K57" s="25">
        <v>0</v>
      </c>
    </row>
    <row r="58" spans="1:11" s="27" customFormat="1" ht="12" customHeight="1">
      <c r="A58" s="29" t="s">
        <v>23</v>
      </c>
      <c r="B58" s="30">
        <f t="shared" si="5"/>
        <v>46457</v>
      </c>
      <c r="C58" s="31">
        <f t="shared" si="6"/>
        <v>46457</v>
      </c>
      <c r="D58" s="32">
        <v>20905</v>
      </c>
      <c r="E58" s="32">
        <v>0</v>
      </c>
      <c r="F58" s="32">
        <v>25552</v>
      </c>
      <c r="G58" s="32">
        <v>0</v>
      </c>
      <c r="H58" s="31">
        <f t="shared" si="7"/>
        <v>0</v>
      </c>
      <c r="I58" s="31">
        <v>0</v>
      </c>
      <c r="J58" s="31">
        <v>0</v>
      </c>
      <c r="K58" s="31">
        <v>0</v>
      </c>
    </row>
    <row r="59" spans="1:11" ht="12" customHeight="1">
      <c r="A59" s="34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2" customHeight="1">
      <c r="A60" s="26" t="s">
        <v>39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</row>
  </sheetData>
  <sheetProtection/>
  <mergeCells count="11">
    <mergeCell ref="H3:K3"/>
    <mergeCell ref="E32:F32"/>
    <mergeCell ref="A33:A34"/>
    <mergeCell ref="B33:B34"/>
    <mergeCell ref="C33:G33"/>
    <mergeCell ref="H33:K33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2015-01-29T08:50:11Z</cp:lastPrinted>
  <dcterms:created xsi:type="dcterms:W3CDTF">2008-03-13T09:30:42Z</dcterms:created>
  <dcterms:modified xsi:type="dcterms:W3CDTF">2015-03-13T05:16:45Z</dcterms:modified>
  <cp:category/>
  <cp:version/>
  <cp:contentType/>
  <cp:contentStatus/>
</cp:coreProperties>
</file>