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5.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6.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drawings/drawing7.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8.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2976\Desktop\システム収穫表\"/>
    </mc:Choice>
  </mc:AlternateContent>
  <workbookProtection workbookPassword="F089" lockStructure="1"/>
  <bookViews>
    <workbookView xWindow="0" yWindow="0" windowWidth="28800" windowHeight="12345"/>
  </bookViews>
  <sheets>
    <sheet name="説明書" sheetId="13" r:id="rId1"/>
    <sheet name="入力" sheetId="6" r:id="rId2"/>
    <sheet name="結果（a 収量比数）" sheetId="12" r:id="rId3"/>
    <sheet name="詳細（a 収量比数）" sheetId="14" r:id="rId4"/>
    <sheet name="結果（b 間伐施業)" sheetId="18" r:id="rId5"/>
    <sheet name="詳細（b 間伐施業）" sheetId="17" r:id="rId6"/>
    <sheet name="a（自動）計算用" sheetId="1" state="hidden" r:id="rId7"/>
    <sheet name="b（手動）計算用" sheetId="7" state="hidden" r:id="rId8"/>
    <sheet name="樹高計算 " sheetId="8" state="hidden" r:id="rId9"/>
    <sheet name="密度計算" sheetId="4" state="hidden" r:id="rId10"/>
    <sheet name="直径材積計算" sheetId="10" state="hidden" r:id="rId11"/>
  </sheets>
  <definedNames>
    <definedName name="_xlnm._FilterDatabase" localSheetId="10" hidden="1">直径材積計算!$A$1:$L$24</definedName>
    <definedName name="_xlnm.Print_Area" localSheetId="2">'結果（a 収量比数）'!$A$1:$T$45</definedName>
    <definedName name="_xlnm.Print_Area" localSheetId="4">'結果（b 間伐施業)'!$A$1:$T$45</definedName>
    <definedName name="_xlnm.Print_Area" localSheetId="3">'詳細（a 収量比数）'!$A$1:$L$117</definedName>
    <definedName name="_xlnm.Print_Area" localSheetId="5">'詳細（b 間伐施業）'!$A$1:$L$117</definedName>
    <definedName name="_xlnm.Print_Area" localSheetId="0">説明書!$A$1:$I$66</definedName>
    <definedName name="_xlnm.Print_Area" localSheetId="1">入力!$B$2:$M$73</definedName>
    <definedName name="_xlnm.Print_Titles" localSheetId="2">'結果（a 収量比数）'!$1:$2</definedName>
    <definedName name="_xlnm.Print_Titles" localSheetId="4">'結果（b 間伐施業)'!$1:$2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6" l="1"/>
  <c r="S2" i="18" l="1"/>
  <c r="K13" i="18"/>
  <c r="J13" i="18"/>
  <c r="B42" i="18"/>
  <c r="L30" i="18"/>
  <c r="J30" i="18"/>
  <c r="L29" i="18"/>
  <c r="J29" i="18"/>
  <c r="L28" i="18"/>
  <c r="J28" i="18"/>
  <c r="L27" i="18"/>
  <c r="J27" i="18"/>
  <c r="L26" i="18"/>
  <c r="J26" i="18"/>
  <c r="L25" i="18"/>
  <c r="J25" i="18"/>
  <c r="L24" i="18"/>
  <c r="J24" i="18"/>
  <c r="L23" i="18"/>
  <c r="J23" i="18"/>
  <c r="L22" i="18"/>
  <c r="J22" i="18"/>
  <c r="L21" i="18"/>
  <c r="J21" i="18"/>
  <c r="M20" i="18"/>
  <c r="K20" i="18"/>
  <c r="J20" i="18"/>
  <c r="E12" i="18"/>
  <c r="C12" i="18"/>
  <c r="B12" i="18"/>
  <c r="C7" i="18"/>
  <c r="C6" i="18"/>
  <c r="C5" i="18"/>
  <c r="E12" i="12" l="1"/>
  <c r="C12" i="12"/>
  <c r="B12" i="12"/>
  <c r="I18" i="6"/>
  <c r="I19" i="6"/>
  <c r="L3" i="17" l="1"/>
  <c r="H3" i="17"/>
  <c r="G3" i="17"/>
  <c r="F3" i="17"/>
  <c r="E3" i="17"/>
  <c r="E1" i="17"/>
  <c r="L3" i="14"/>
  <c r="K3" i="14"/>
  <c r="J3" i="14"/>
  <c r="H3" i="14"/>
  <c r="G3" i="14"/>
  <c r="F3" i="14"/>
  <c r="E3" i="14"/>
  <c r="E1" i="14"/>
  <c r="C5" i="12"/>
  <c r="S2" i="12"/>
  <c r="C48" i="6" l="1"/>
  <c r="H48" i="6"/>
  <c r="J31" i="18" s="1"/>
  <c r="C6" i="12" l="1"/>
  <c r="N13" i="12"/>
  <c r="M13" i="12"/>
  <c r="K13" i="12"/>
  <c r="J13" i="12"/>
  <c r="C7" i="12"/>
  <c r="A123" i="8" l="1"/>
  <c r="A124" i="8"/>
  <c r="A125" i="8"/>
  <c r="A126" i="8"/>
  <c r="A127" i="8"/>
  <c r="A128" i="8"/>
  <c r="A129" i="8"/>
  <c r="D129" i="8" s="1"/>
  <c r="A130" i="8"/>
  <c r="P130" i="8" s="1"/>
  <c r="Q130" i="8" s="1"/>
  <c r="A131" i="8"/>
  <c r="A132" i="8"/>
  <c r="A133" i="8"/>
  <c r="A134" i="8"/>
  <c r="A135" i="8"/>
  <c r="A136" i="8"/>
  <c r="A137" i="8"/>
  <c r="P137" i="8" s="1"/>
  <c r="Q137" i="8" s="1"/>
  <c r="A138" i="8"/>
  <c r="E138" i="8" s="1"/>
  <c r="A139" i="8"/>
  <c r="A140" i="8"/>
  <c r="A141" i="8"/>
  <c r="A142" i="8"/>
  <c r="A143" i="8"/>
  <c r="A144" i="8"/>
  <c r="A145" i="8"/>
  <c r="E145" i="8" s="1"/>
  <c r="A146" i="8"/>
  <c r="C146" i="8" s="1"/>
  <c r="A147" i="8"/>
  <c r="A148" i="8"/>
  <c r="A149" i="8"/>
  <c r="A150" i="8"/>
  <c r="A151" i="8"/>
  <c r="A152" i="8"/>
  <c r="A153" i="8"/>
  <c r="P153" i="8" s="1"/>
  <c r="Q153" i="8" s="1"/>
  <c r="A154" i="8"/>
  <c r="C154" i="8" s="1"/>
  <c r="A155" i="8"/>
  <c r="A156" i="8"/>
  <c r="A157" i="8"/>
  <c r="A158" i="8"/>
  <c r="A159" i="8"/>
  <c r="A160" i="8"/>
  <c r="A161" i="8"/>
  <c r="B161" i="8" s="1"/>
  <c r="F161" i="8" s="1"/>
  <c r="A162" i="8"/>
  <c r="A163" i="8"/>
  <c r="A164" i="8"/>
  <c r="A165" i="8"/>
  <c r="A166" i="8"/>
  <c r="A167" i="8"/>
  <c r="A168" i="8"/>
  <c r="A169" i="8"/>
  <c r="E169" i="8" s="1"/>
  <c r="A170" i="8"/>
  <c r="A171" i="8"/>
  <c r="A172" i="8"/>
  <c r="A173" i="8"/>
  <c r="A174" i="8"/>
  <c r="A175" i="8"/>
  <c r="A176" i="8"/>
  <c r="A177" i="8"/>
  <c r="P177" i="8" s="1"/>
  <c r="Q177" i="8" s="1"/>
  <c r="A178" i="8"/>
  <c r="P178" i="8" s="1"/>
  <c r="Q178" i="8" s="1"/>
  <c r="A179" i="8"/>
  <c r="A180" i="8"/>
  <c r="A181" i="8"/>
  <c r="A182" i="8"/>
  <c r="A183" i="8"/>
  <c r="A184" i="8"/>
  <c r="A185" i="8"/>
  <c r="P185" i="8" s="1"/>
  <c r="Q185" i="8" s="1"/>
  <c r="A186" i="8"/>
  <c r="E186" i="8" s="1"/>
  <c r="A187" i="8"/>
  <c r="A188" i="8"/>
  <c r="A189" i="8"/>
  <c r="A190" i="8"/>
  <c r="A191" i="8"/>
  <c r="A192" i="8"/>
  <c r="A193" i="8"/>
  <c r="P193" i="8" s="1"/>
  <c r="Q193" i="8" s="1"/>
  <c r="W193" i="8" s="1"/>
  <c r="A194" i="8"/>
  <c r="O194" i="8" s="1"/>
  <c r="A195" i="8"/>
  <c r="A196" i="8"/>
  <c r="A197" i="8"/>
  <c r="A198" i="8"/>
  <c r="A199" i="8"/>
  <c r="A200" i="8"/>
  <c r="A201" i="8"/>
  <c r="A202" i="8"/>
  <c r="E202" i="8" s="1"/>
  <c r="A203" i="8"/>
  <c r="A204" i="8"/>
  <c r="A205" i="8"/>
  <c r="A206" i="8"/>
  <c r="A207" i="8"/>
  <c r="A208" i="8"/>
  <c r="A209" i="8"/>
  <c r="D209" i="8" s="1"/>
  <c r="A210" i="8"/>
  <c r="P210" i="8" s="1"/>
  <c r="Q210" i="8" s="1"/>
  <c r="A211" i="8"/>
  <c r="A212" i="8"/>
  <c r="A213" i="8"/>
  <c r="A214" i="8"/>
  <c r="A215" i="8"/>
  <c r="A216" i="8"/>
  <c r="A217" i="8"/>
  <c r="C217" i="8" s="1"/>
  <c r="A218" i="8"/>
  <c r="D218" i="8" s="1"/>
  <c r="A219" i="8"/>
  <c r="A220" i="8"/>
  <c r="D220" i="8" s="1"/>
  <c r="A221" i="8"/>
  <c r="A222" i="8"/>
  <c r="A223" i="8"/>
  <c r="A224" i="8"/>
  <c r="E224" i="8" s="1"/>
  <c r="A225" i="8"/>
  <c r="C225" i="8" s="1"/>
  <c r="A226" i="8"/>
  <c r="E226" i="8" s="1"/>
  <c r="A227" i="8"/>
  <c r="A228" i="8"/>
  <c r="P228" i="8" s="1"/>
  <c r="Q228" i="8" s="1"/>
  <c r="A229" i="8"/>
  <c r="A230" i="8"/>
  <c r="B230" i="8" s="1"/>
  <c r="F230" i="8" s="1"/>
  <c r="A231" i="8"/>
  <c r="A122" i="8"/>
  <c r="A121" i="8"/>
  <c r="B121" i="8" s="1"/>
  <c r="F121" i="8" s="1"/>
  <c r="P230" i="8"/>
  <c r="Q230" i="8" s="1"/>
  <c r="E230" i="8"/>
  <c r="O229" i="8"/>
  <c r="E229" i="8"/>
  <c r="P227" i="8"/>
  <c r="Q227" i="8" s="1"/>
  <c r="O227" i="8"/>
  <c r="E227" i="8"/>
  <c r="C227" i="8"/>
  <c r="B227" i="8"/>
  <c r="F227" i="8" s="1"/>
  <c r="P224" i="8"/>
  <c r="Q224" i="8" s="1"/>
  <c r="D224" i="8"/>
  <c r="C224" i="8"/>
  <c r="B224" i="8"/>
  <c r="F224" i="8" s="1"/>
  <c r="J224" i="8" s="1"/>
  <c r="O224" i="8"/>
  <c r="B223" i="8"/>
  <c r="F223" i="8" s="1"/>
  <c r="P222" i="8"/>
  <c r="Q222" i="8" s="1"/>
  <c r="P221" i="8"/>
  <c r="Q221" i="8" s="1"/>
  <c r="O221" i="8"/>
  <c r="E221" i="8"/>
  <c r="D221" i="8"/>
  <c r="P220" i="8"/>
  <c r="Q220" i="8" s="1"/>
  <c r="O220" i="8"/>
  <c r="C220" i="8"/>
  <c r="O219" i="8"/>
  <c r="E219" i="8"/>
  <c r="C219" i="8"/>
  <c r="B219" i="8"/>
  <c r="F219" i="8" s="1"/>
  <c r="E218" i="8"/>
  <c r="P216" i="8"/>
  <c r="Q216" i="8" s="1"/>
  <c r="R216" i="8" s="1"/>
  <c r="E216" i="8"/>
  <c r="D216" i="8"/>
  <c r="C216" i="8"/>
  <c r="B216" i="8"/>
  <c r="F216" i="8" s="1"/>
  <c r="O216" i="8"/>
  <c r="B215" i="8"/>
  <c r="F215" i="8" s="1"/>
  <c r="P214" i="8"/>
  <c r="Q214" i="8" s="1"/>
  <c r="P213" i="8"/>
  <c r="Q213" i="8" s="1"/>
  <c r="O213" i="8"/>
  <c r="E213" i="8"/>
  <c r="O212" i="8"/>
  <c r="D212" i="8"/>
  <c r="P211" i="8"/>
  <c r="Q211" i="8" s="1"/>
  <c r="O211" i="8"/>
  <c r="E211" i="8"/>
  <c r="C211" i="8"/>
  <c r="B211" i="8"/>
  <c r="F211" i="8" s="1"/>
  <c r="E209" i="8"/>
  <c r="R208" i="8"/>
  <c r="P208" i="8"/>
  <c r="Q208" i="8" s="1"/>
  <c r="T208" i="8" s="1"/>
  <c r="E208" i="8"/>
  <c r="D208" i="8"/>
  <c r="C208" i="8"/>
  <c r="B208" i="8"/>
  <c r="F208" i="8" s="1"/>
  <c r="O208" i="8"/>
  <c r="O206" i="8"/>
  <c r="C206" i="8"/>
  <c r="B206" i="8"/>
  <c r="F206" i="8" s="1"/>
  <c r="P206" i="8"/>
  <c r="Q206" i="8" s="1"/>
  <c r="P205" i="8"/>
  <c r="Q205" i="8" s="1"/>
  <c r="O205" i="8"/>
  <c r="E205" i="8"/>
  <c r="B205" i="8"/>
  <c r="F205" i="8" s="1"/>
  <c r="Q204" i="8"/>
  <c r="P204" i="8"/>
  <c r="O204" i="8"/>
  <c r="E204" i="8"/>
  <c r="P203" i="8"/>
  <c r="Q203" i="8" s="1"/>
  <c r="S203" i="8" s="1"/>
  <c r="O203" i="8"/>
  <c r="E203" i="8"/>
  <c r="D203" i="8"/>
  <c r="C203" i="8"/>
  <c r="B203" i="8"/>
  <c r="F203" i="8" s="1"/>
  <c r="O200" i="8"/>
  <c r="E200" i="8"/>
  <c r="D200" i="8"/>
  <c r="C200" i="8"/>
  <c r="B200" i="8"/>
  <c r="F200" i="8" s="1"/>
  <c r="P199" i="8"/>
  <c r="Q199" i="8" s="1"/>
  <c r="R199" i="8" s="1"/>
  <c r="D199" i="8"/>
  <c r="C199" i="8"/>
  <c r="B199" i="8"/>
  <c r="F199" i="8" s="1"/>
  <c r="J199" i="8" s="1"/>
  <c r="O199" i="8"/>
  <c r="B198" i="8"/>
  <c r="F198" i="8" s="1"/>
  <c r="P195" i="8"/>
  <c r="Q195" i="8" s="1"/>
  <c r="O195" i="8"/>
  <c r="D195" i="8"/>
  <c r="B195" i="8"/>
  <c r="F195" i="8" s="1"/>
  <c r="E195" i="8"/>
  <c r="B193" i="8"/>
  <c r="F193" i="8" s="1"/>
  <c r="P191" i="8"/>
  <c r="Q191" i="8" s="1"/>
  <c r="R191" i="8" s="1"/>
  <c r="O191" i="8"/>
  <c r="D191" i="8"/>
  <c r="C191" i="8"/>
  <c r="B191" i="8"/>
  <c r="F191" i="8" s="1"/>
  <c r="J191" i="8" s="1"/>
  <c r="E191" i="8"/>
  <c r="O190" i="8"/>
  <c r="C190" i="8"/>
  <c r="B190" i="8"/>
  <c r="F190" i="8" s="1"/>
  <c r="J189" i="8"/>
  <c r="B189" i="8"/>
  <c r="F189" i="8" s="1"/>
  <c r="P189" i="8"/>
  <c r="Q189" i="8" s="1"/>
  <c r="E188" i="8"/>
  <c r="P187" i="8"/>
  <c r="Q187" i="8" s="1"/>
  <c r="O187" i="8"/>
  <c r="E187" i="8"/>
  <c r="D187" i="8"/>
  <c r="C187" i="8"/>
  <c r="B187" i="8"/>
  <c r="F187" i="8" s="1"/>
  <c r="D185" i="8"/>
  <c r="P184" i="8"/>
  <c r="Q184" i="8" s="1"/>
  <c r="O184" i="8"/>
  <c r="E184" i="8"/>
  <c r="D184" i="8"/>
  <c r="B184" i="8"/>
  <c r="F184" i="8" s="1"/>
  <c r="J184" i="8" s="1"/>
  <c r="P183" i="8"/>
  <c r="Q183" i="8" s="1"/>
  <c r="D183" i="8"/>
  <c r="C183" i="8"/>
  <c r="B183" i="8"/>
  <c r="F183" i="8" s="1"/>
  <c r="E183" i="8"/>
  <c r="E182" i="8"/>
  <c r="D182" i="8"/>
  <c r="C182" i="8"/>
  <c r="P181" i="8"/>
  <c r="Q181" i="8" s="1"/>
  <c r="O181" i="8"/>
  <c r="D181" i="8"/>
  <c r="C181" i="8"/>
  <c r="B181" i="8"/>
  <c r="F181" i="8" s="1"/>
  <c r="P180" i="8"/>
  <c r="Q180" i="8" s="1"/>
  <c r="S180" i="8" s="1"/>
  <c r="O180" i="8"/>
  <c r="E180" i="8"/>
  <c r="C180" i="8"/>
  <c r="B180" i="8"/>
  <c r="F180" i="8" s="1"/>
  <c r="D180" i="8"/>
  <c r="B179" i="8"/>
  <c r="F179" i="8" s="1"/>
  <c r="C177" i="8"/>
  <c r="O176" i="8"/>
  <c r="F176" i="8"/>
  <c r="D176" i="8"/>
  <c r="C176" i="8"/>
  <c r="B176" i="8"/>
  <c r="E176" i="8"/>
  <c r="F175" i="8"/>
  <c r="J175" i="8" s="1"/>
  <c r="E175" i="8"/>
  <c r="B175" i="8"/>
  <c r="D175" i="8"/>
  <c r="P173" i="8"/>
  <c r="Q173" i="8" s="1"/>
  <c r="O173" i="8"/>
  <c r="D173" i="8"/>
  <c r="C173" i="8"/>
  <c r="B173" i="8"/>
  <c r="F173" i="8" s="1"/>
  <c r="P172" i="8"/>
  <c r="Q172" i="8" s="1"/>
  <c r="X172" i="8" s="1"/>
  <c r="O172" i="8"/>
  <c r="E172" i="8"/>
  <c r="C172" i="8"/>
  <c r="B172" i="8"/>
  <c r="F172" i="8" s="1"/>
  <c r="D172" i="8"/>
  <c r="E170" i="8"/>
  <c r="P169" i="8"/>
  <c r="Q169" i="8" s="1"/>
  <c r="O168" i="8"/>
  <c r="F168" i="8"/>
  <c r="D168" i="8"/>
  <c r="C168" i="8"/>
  <c r="B168" i="8"/>
  <c r="E168" i="8"/>
  <c r="E167" i="8"/>
  <c r="C167" i="8"/>
  <c r="B167" i="8"/>
  <c r="F167" i="8" s="1"/>
  <c r="P166" i="8"/>
  <c r="Q166" i="8" s="1"/>
  <c r="D166" i="8"/>
  <c r="B166" i="8"/>
  <c r="F166" i="8" s="1"/>
  <c r="E166" i="8"/>
  <c r="P165" i="8"/>
  <c r="Q165" i="8" s="1"/>
  <c r="O165" i="8"/>
  <c r="D165" i="8"/>
  <c r="C165" i="8"/>
  <c r="P164" i="8"/>
  <c r="Q164" i="8" s="1"/>
  <c r="R164" i="8" s="1"/>
  <c r="O164" i="8"/>
  <c r="E164" i="8"/>
  <c r="C164" i="8"/>
  <c r="B164" i="8"/>
  <c r="F164" i="8" s="1"/>
  <c r="D164" i="8"/>
  <c r="O163" i="8"/>
  <c r="E163" i="8"/>
  <c r="D163" i="8"/>
  <c r="B163" i="8"/>
  <c r="F163" i="8" s="1"/>
  <c r="J163" i="8" s="1"/>
  <c r="D161" i="8"/>
  <c r="V160" i="8"/>
  <c r="C160" i="8"/>
  <c r="B160" i="8"/>
  <c r="F160" i="8" s="1"/>
  <c r="P160" i="8"/>
  <c r="Q160" i="8" s="1"/>
  <c r="P159" i="8"/>
  <c r="Q159" i="8" s="1"/>
  <c r="F159" i="8"/>
  <c r="E159" i="8"/>
  <c r="D159" i="8"/>
  <c r="C159" i="8"/>
  <c r="B159" i="8"/>
  <c r="O159" i="8"/>
  <c r="O158" i="8"/>
  <c r="E158" i="8"/>
  <c r="D158" i="8"/>
  <c r="P157" i="8"/>
  <c r="Q157" i="8" s="1"/>
  <c r="E157" i="8"/>
  <c r="D157" i="8"/>
  <c r="B157" i="8"/>
  <c r="F157" i="8" s="1"/>
  <c r="C157" i="8"/>
  <c r="E156" i="8"/>
  <c r="D156" i="8"/>
  <c r="C156" i="8"/>
  <c r="B156" i="8"/>
  <c r="F156" i="8" s="1"/>
  <c r="P155" i="8"/>
  <c r="Q155" i="8" s="1"/>
  <c r="T155" i="8" s="1"/>
  <c r="O155" i="8"/>
  <c r="D155" i="8"/>
  <c r="C155" i="8"/>
  <c r="B155" i="8"/>
  <c r="F155" i="8" s="1"/>
  <c r="J155" i="8" s="1"/>
  <c r="E155" i="8"/>
  <c r="B153" i="8"/>
  <c r="F153" i="8" s="1"/>
  <c r="J153" i="8" s="1"/>
  <c r="P152" i="8"/>
  <c r="Q152" i="8" s="1"/>
  <c r="X152" i="8" s="1"/>
  <c r="O152" i="8"/>
  <c r="E152" i="8"/>
  <c r="P151" i="8"/>
  <c r="Q151" i="8" s="1"/>
  <c r="W151" i="8" s="1"/>
  <c r="O151" i="8"/>
  <c r="E151" i="8"/>
  <c r="D151" i="8"/>
  <c r="C151" i="8"/>
  <c r="B151" i="8"/>
  <c r="F151" i="8" s="1"/>
  <c r="L151" i="8" s="1"/>
  <c r="O150" i="8"/>
  <c r="E150" i="8"/>
  <c r="C150" i="8"/>
  <c r="D150" i="8"/>
  <c r="P149" i="8"/>
  <c r="Q149" i="8" s="1"/>
  <c r="W149" i="8" s="1"/>
  <c r="E149" i="8"/>
  <c r="D149" i="8"/>
  <c r="B149" i="8"/>
  <c r="F149" i="8" s="1"/>
  <c r="C149" i="8"/>
  <c r="E148" i="8"/>
  <c r="D148" i="8"/>
  <c r="R147" i="8"/>
  <c r="P147" i="8"/>
  <c r="Q147" i="8" s="1"/>
  <c r="O147" i="8"/>
  <c r="F147" i="8"/>
  <c r="D147" i="8"/>
  <c r="C147" i="8"/>
  <c r="B147" i="8"/>
  <c r="E147" i="8"/>
  <c r="P144" i="8"/>
  <c r="Q144" i="8" s="1"/>
  <c r="V144" i="8" s="1"/>
  <c r="O144" i="8"/>
  <c r="E144" i="8"/>
  <c r="D144" i="8"/>
  <c r="C144" i="8"/>
  <c r="B144" i="8"/>
  <c r="F144" i="8" s="1"/>
  <c r="J144" i="8" s="1"/>
  <c r="P143" i="8"/>
  <c r="Q143" i="8" s="1"/>
  <c r="V143" i="8" s="1"/>
  <c r="O143" i="8"/>
  <c r="E143" i="8"/>
  <c r="D143" i="8"/>
  <c r="C143" i="8"/>
  <c r="B143" i="8"/>
  <c r="F143" i="8" s="1"/>
  <c r="D141" i="8"/>
  <c r="B141" i="8"/>
  <c r="F141" i="8" s="1"/>
  <c r="P141" i="8"/>
  <c r="Q141" i="8" s="1"/>
  <c r="E140" i="8"/>
  <c r="O139" i="8"/>
  <c r="E139" i="8"/>
  <c r="C139" i="8"/>
  <c r="B139" i="8"/>
  <c r="F139" i="8" s="1"/>
  <c r="J139" i="8" s="1"/>
  <c r="P139" i="8"/>
  <c r="Q139" i="8" s="1"/>
  <c r="X139" i="8" s="1"/>
  <c r="P136" i="8"/>
  <c r="Q136" i="8" s="1"/>
  <c r="S136" i="8" s="1"/>
  <c r="O136" i="8"/>
  <c r="E136" i="8"/>
  <c r="D136" i="8"/>
  <c r="C136" i="8"/>
  <c r="B136" i="8"/>
  <c r="F136" i="8" s="1"/>
  <c r="O135" i="8"/>
  <c r="P134" i="8"/>
  <c r="Q134" i="8" s="1"/>
  <c r="E134" i="8"/>
  <c r="X133" i="8"/>
  <c r="P133" i="8"/>
  <c r="Q133" i="8" s="1"/>
  <c r="V133" i="8" s="1"/>
  <c r="O133" i="8"/>
  <c r="E133" i="8"/>
  <c r="D133" i="8"/>
  <c r="C133" i="8"/>
  <c r="B133" i="8"/>
  <c r="F133" i="8" s="1"/>
  <c r="X132" i="8"/>
  <c r="S132" i="8"/>
  <c r="O132" i="8"/>
  <c r="D132" i="8"/>
  <c r="C132" i="8"/>
  <c r="B132" i="8"/>
  <c r="F132" i="8" s="1"/>
  <c r="P132" i="8"/>
  <c r="Q132" i="8" s="1"/>
  <c r="W132" i="8" s="1"/>
  <c r="E131" i="8"/>
  <c r="C131" i="8"/>
  <c r="B131" i="8"/>
  <c r="F131" i="8" s="1"/>
  <c r="W128" i="8"/>
  <c r="P128" i="8"/>
  <c r="Q128" i="8" s="1"/>
  <c r="T128" i="8" s="1"/>
  <c r="O128" i="8"/>
  <c r="E128" i="8"/>
  <c r="D128" i="8"/>
  <c r="C128" i="8"/>
  <c r="B128" i="8"/>
  <c r="F128" i="8" s="1"/>
  <c r="O127" i="8"/>
  <c r="C127" i="8"/>
  <c r="P127" i="8"/>
  <c r="Q127" i="8" s="1"/>
  <c r="X127" i="8" s="1"/>
  <c r="P126" i="8"/>
  <c r="Q126" i="8" s="1"/>
  <c r="E126" i="8"/>
  <c r="D126" i="8"/>
  <c r="C126" i="8"/>
  <c r="B126" i="8"/>
  <c r="F126" i="8" s="1"/>
  <c r="O126" i="8"/>
  <c r="Q125" i="8"/>
  <c r="W125" i="8" s="1"/>
  <c r="P125" i="8"/>
  <c r="C125" i="8"/>
  <c r="O125" i="8"/>
  <c r="P124" i="8"/>
  <c r="Q124" i="8" s="1"/>
  <c r="O124" i="8"/>
  <c r="D124" i="8"/>
  <c r="C124" i="8"/>
  <c r="B124" i="8"/>
  <c r="F124" i="8" s="1"/>
  <c r="E124" i="8"/>
  <c r="P123" i="8"/>
  <c r="Q123" i="8" s="1"/>
  <c r="T123" i="8" s="1"/>
  <c r="C123" i="8"/>
  <c r="D123" i="8"/>
  <c r="E122" i="8"/>
  <c r="D122" i="8"/>
  <c r="C122" i="8"/>
  <c r="D121" i="8"/>
  <c r="B42" i="12"/>
  <c r="C121" i="8" l="1"/>
  <c r="P145" i="8"/>
  <c r="Q145" i="8" s="1"/>
  <c r="C161" i="8"/>
  <c r="O169" i="8"/>
  <c r="B177" i="8"/>
  <c r="F177" i="8" s="1"/>
  <c r="B185" i="8"/>
  <c r="F185" i="8" s="1"/>
  <c r="C193" i="8"/>
  <c r="D217" i="8"/>
  <c r="E121" i="8"/>
  <c r="E161" i="8"/>
  <c r="D177" i="8"/>
  <c r="E185" i="8"/>
  <c r="D193" i="8"/>
  <c r="C209" i="8"/>
  <c r="O121" i="8"/>
  <c r="C137" i="8"/>
  <c r="T139" i="8"/>
  <c r="X151" i="8"/>
  <c r="O161" i="8"/>
  <c r="E177" i="8"/>
  <c r="E193" i="8"/>
  <c r="P121" i="8"/>
  <c r="Q121" i="8" s="1"/>
  <c r="W121" i="8" s="1"/>
  <c r="L121" i="8" s="1"/>
  <c r="D137" i="8"/>
  <c r="P161" i="8"/>
  <c r="Q161" i="8" s="1"/>
  <c r="B169" i="8"/>
  <c r="F169" i="8" s="1"/>
  <c r="O177" i="8"/>
  <c r="T203" i="8"/>
  <c r="C228" i="8"/>
  <c r="K144" i="8"/>
  <c r="G164" i="8"/>
  <c r="C169" i="8"/>
  <c r="R180" i="8"/>
  <c r="P225" i="8"/>
  <c r="Q225" i="8" s="1"/>
  <c r="S225" i="8" s="1"/>
  <c r="X128" i="8"/>
  <c r="R143" i="8"/>
  <c r="D145" i="8"/>
  <c r="D169" i="8"/>
  <c r="P217" i="8"/>
  <c r="Q217" i="8" s="1"/>
  <c r="T217" i="8" s="1"/>
  <c r="D225" i="8"/>
  <c r="S143" i="8"/>
  <c r="V124" i="8"/>
  <c r="W124" i="8"/>
  <c r="L124" i="8" s="1"/>
  <c r="X124" i="8"/>
  <c r="T124" i="8"/>
  <c r="X126" i="8"/>
  <c r="V126" i="8"/>
  <c r="K126" i="8" s="1"/>
  <c r="T126" i="8"/>
  <c r="I126" i="8" s="1"/>
  <c r="W126" i="8"/>
  <c r="O146" i="8"/>
  <c r="C210" i="8"/>
  <c r="O218" i="8"/>
  <c r="O226" i="8"/>
  <c r="D228" i="8"/>
  <c r="T132" i="8"/>
  <c r="I132" i="8" s="1"/>
  <c r="W143" i="8"/>
  <c r="L143" i="8" s="1"/>
  <c r="T144" i="8"/>
  <c r="I144" i="8" s="1"/>
  <c r="B146" i="8"/>
  <c r="F146" i="8" s="1"/>
  <c r="W161" i="8"/>
  <c r="L161" i="8" s="1"/>
  <c r="V193" i="8"/>
  <c r="B210" i="8"/>
  <c r="F210" i="8" s="1"/>
  <c r="P218" i="8"/>
  <c r="Q218" i="8" s="1"/>
  <c r="P226" i="8"/>
  <c r="Q226" i="8" s="1"/>
  <c r="W226" i="8" s="1"/>
  <c r="L226" i="8" s="1"/>
  <c r="O228" i="8"/>
  <c r="V128" i="8"/>
  <c r="K128" i="8" s="1"/>
  <c r="X143" i="8"/>
  <c r="X161" i="8"/>
  <c r="P202" i="8"/>
  <c r="Q202" i="8" s="1"/>
  <c r="V202" i="8" s="1"/>
  <c r="D210" i="8"/>
  <c r="K143" i="8"/>
  <c r="B154" i="8"/>
  <c r="F154" i="8" s="1"/>
  <c r="J154" i="8" s="1"/>
  <c r="D194" i="8"/>
  <c r="C202" i="8"/>
  <c r="E210" i="8"/>
  <c r="B226" i="8"/>
  <c r="F226" i="8" s="1"/>
  <c r="J226" i="8" s="1"/>
  <c r="M133" i="8"/>
  <c r="T149" i="8"/>
  <c r="S155" i="8"/>
  <c r="C194" i="8"/>
  <c r="D202" i="8"/>
  <c r="O210" i="8"/>
  <c r="B218" i="8"/>
  <c r="F218" i="8" s="1"/>
  <c r="C226" i="8"/>
  <c r="V149" i="8"/>
  <c r="E194" i="8"/>
  <c r="C218" i="8"/>
  <c r="D226" i="8"/>
  <c r="L128" i="8"/>
  <c r="I128" i="8"/>
  <c r="J128" i="8"/>
  <c r="M128" i="8"/>
  <c r="X137" i="8"/>
  <c r="W137" i="8"/>
  <c r="V137" i="8"/>
  <c r="R137" i="8"/>
  <c r="S137" i="8"/>
  <c r="T137" i="8"/>
  <c r="X130" i="8"/>
  <c r="W130" i="8"/>
  <c r="S130" i="8"/>
  <c r="V130" i="8"/>
  <c r="T130" i="8"/>
  <c r="R130" i="8"/>
  <c r="M124" i="8"/>
  <c r="K124" i="8"/>
  <c r="J124" i="8"/>
  <c r="I124" i="8"/>
  <c r="T134" i="8"/>
  <c r="S134" i="8"/>
  <c r="R134" i="8"/>
  <c r="X134" i="8"/>
  <c r="W134" i="8"/>
  <c r="V134" i="8"/>
  <c r="J131" i="8"/>
  <c r="J141" i="8"/>
  <c r="T121" i="8"/>
  <c r="I121" i="8" s="1"/>
  <c r="S121" i="8"/>
  <c r="H121" i="8" s="1"/>
  <c r="V121" i="8"/>
  <c r="K121" i="8" s="1"/>
  <c r="J121" i="8"/>
  <c r="X153" i="8"/>
  <c r="M153" i="8" s="1"/>
  <c r="W153" i="8"/>
  <c r="V153" i="8"/>
  <c r="K153" i="8" s="1"/>
  <c r="T153" i="8"/>
  <c r="I153" i="8" s="1"/>
  <c r="S153" i="8"/>
  <c r="R153" i="8"/>
  <c r="J126" i="8"/>
  <c r="M126" i="8"/>
  <c r="L126" i="8"/>
  <c r="X178" i="8"/>
  <c r="W178" i="8"/>
  <c r="V178" i="8"/>
  <c r="T178" i="8"/>
  <c r="S178" i="8"/>
  <c r="R178" i="8"/>
  <c r="B130" i="8"/>
  <c r="F130" i="8" s="1"/>
  <c r="J132" i="8"/>
  <c r="H132" i="8"/>
  <c r="M132" i="8"/>
  <c r="M172" i="8"/>
  <c r="J172" i="8"/>
  <c r="R181" i="8"/>
  <c r="X181" i="8"/>
  <c r="W181" i="8"/>
  <c r="L181" i="8" s="1"/>
  <c r="V181" i="8"/>
  <c r="K181" i="8" s="1"/>
  <c r="T181" i="8"/>
  <c r="I181" i="8" s="1"/>
  <c r="O122" i="8"/>
  <c r="S123" i="8"/>
  <c r="S125" i="8"/>
  <c r="S127" i="8"/>
  <c r="E129" i="8"/>
  <c r="B129" i="8"/>
  <c r="F129" i="8" s="1"/>
  <c r="O129" i="8"/>
  <c r="D130" i="8"/>
  <c r="W136" i="8"/>
  <c r="L136" i="8" s="1"/>
  <c r="V136" i="8"/>
  <c r="K136" i="8" s="1"/>
  <c r="T136" i="8"/>
  <c r="B138" i="8"/>
  <c r="F138" i="8" s="1"/>
  <c r="D142" i="8"/>
  <c r="P142" i="8"/>
  <c r="Q142" i="8" s="1"/>
  <c r="B142" i="8"/>
  <c r="F142" i="8" s="1"/>
  <c r="C142" i="8"/>
  <c r="M143" i="8"/>
  <c r="H143" i="8"/>
  <c r="J143" i="8"/>
  <c r="K149" i="8"/>
  <c r="I149" i="8"/>
  <c r="L149" i="8"/>
  <c r="J149" i="8"/>
  <c r="J168" i="8"/>
  <c r="S181" i="8"/>
  <c r="H181" i="8" s="1"/>
  <c r="D134" i="8"/>
  <c r="C134" i="8"/>
  <c r="B134" i="8"/>
  <c r="F134" i="8" s="1"/>
  <c r="O134" i="8"/>
  <c r="M139" i="8"/>
  <c r="I139" i="8"/>
  <c r="R211" i="8"/>
  <c r="G211" i="8" s="1"/>
  <c r="T211" i="8"/>
  <c r="I211" i="8" s="1"/>
  <c r="X211" i="8"/>
  <c r="W211" i="8"/>
  <c r="V211" i="8"/>
  <c r="S211" i="8"/>
  <c r="P122" i="8"/>
  <c r="Q122" i="8" s="1"/>
  <c r="B123" i="8"/>
  <c r="F123" i="8" s="1"/>
  <c r="V123" i="8"/>
  <c r="B125" i="8"/>
  <c r="F125" i="8" s="1"/>
  <c r="T125" i="8"/>
  <c r="B127" i="8"/>
  <c r="F127" i="8" s="1"/>
  <c r="T127" i="8"/>
  <c r="C129" i="8"/>
  <c r="P129" i="8"/>
  <c r="Q129" i="8" s="1"/>
  <c r="E130" i="8"/>
  <c r="R136" i="8"/>
  <c r="G136" i="8" s="1"/>
  <c r="D138" i="8"/>
  <c r="E142" i="8"/>
  <c r="J167" i="8"/>
  <c r="S141" i="8"/>
  <c r="H141" i="8" s="1"/>
  <c r="X141" i="8"/>
  <c r="M141" i="8" s="1"/>
  <c r="W141" i="8"/>
  <c r="L141" i="8" s="1"/>
  <c r="V141" i="8"/>
  <c r="K141" i="8" s="1"/>
  <c r="T141" i="8"/>
  <c r="I141" i="8" s="1"/>
  <c r="R123" i="8"/>
  <c r="R125" i="8"/>
  <c r="R127" i="8"/>
  <c r="D140" i="8"/>
  <c r="C140" i="8"/>
  <c r="B140" i="8"/>
  <c r="F140" i="8" s="1"/>
  <c r="R141" i="8"/>
  <c r="G141" i="8" s="1"/>
  <c r="E135" i="8"/>
  <c r="D135" i="8"/>
  <c r="C135" i="8"/>
  <c r="P135" i="8"/>
  <c r="Q135" i="8" s="1"/>
  <c r="X159" i="8"/>
  <c r="W159" i="8"/>
  <c r="V159" i="8"/>
  <c r="K159" i="8" s="1"/>
  <c r="T159" i="8"/>
  <c r="S159" i="8"/>
  <c r="H159" i="8" s="1"/>
  <c r="R159" i="8"/>
  <c r="G159" i="8" s="1"/>
  <c r="O130" i="8"/>
  <c r="C130" i="8"/>
  <c r="I136" i="8"/>
  <c r="W123" i="8"/>
  <c r="V125" i="8"/>
  <c r="L132" i="8"/>
  <c r="B122" i="8"/>
  <c r="F122" i="8" s="1"/>
  <c r="E123" i="8"/>
  <c r="X123" i="8"/>
  <c r="R124" i="8"/>
  <c r="G124" i="8" s="1"/>
  <c r="D125" i="8"/>
  <c r="X125" i="8"/>
  <c r="R126" i="8"/>
  <c r="G126" i="8" s="1"/>
  <c r="D127" i="8"/>
  <c r="W127" i="8"/>
  <c r="R128" i="8"/>
  <c r="G128" i="8" s="1"/>
  <c r="R132" i="8"/>
  <c r="G132" i="8" s="1"/>
  <c r="V132" i="8"/>
  <c r="K132" i="8" s="1"/>
  <c r="S133" i="8"/>
  <c r="H133" i="8" s="1"/>
  <c r="R133" i="8"/>
  <c r="G133" i="8" s="1"/>
  <c r="W133" i="8"/>
  <c r="L133" i="8" s="1"/>
  <c r="B135" i="8"/>
  <c r="F135" i="8" s="1"/>
  <c r="X136" i="8"/>
  <c r="M136" i="8" s="1"/>
  <c r="V139" i="8"/>
  <c r="K139" i="8" s="1"/>
  <c r="R139" i="8"/>
  <c r="G139" i="8" s="1"/>
  <c r="W139" i="8"/>
  <c r="J146" i="8"/>
  <c r="G147" i="8"/>
  <c r="K147" i="8"/>
  <c r="J147" i="8"/>
  <c r="W152" i="8"/>
  <c r="T152" i="8"/>
  <c r="S152" i="8"/>
  <c r="R152" i="8"/>
  <c r="R165" i="8"/>
  <c r="V165" i="8"/>
  <c r="X165" i="8"/>
  <c r="W165" i="8"/>
  <c r="T165" i="8"/>
  <c r="S165" i="8"/>
  <c r="K193" i="8"/>
  <c r="L193" i="8"/>
  <c r="J193" i="8"/>
  <c r="S157" i="8"/>
  <c r="H157" i="8" s="1"/>
  <c r="R157" i="8"/>
  <c r="G157" i="8" s="1"/>
  <c r="X157" i="8"/>
  <c r="M157" i="8" s="1"/>
  <c r="W157" i="8"/>
  <c r="V157" i="8"/>
  <c r="K157" i="8" s="1"/>
  <c r="T157" i="8"/>
  <c r="P138" i="8"/>
  <c r="Q138" i="8" s="1"/>
  <c r="O138" i="8"/>
  <c r="C138" i="8"/>
  <c r="V127" i="8"/>
  <c r="K133" i="8"/>
  <c r="J133" i="8"/>
  <c r="O123" i="8"/>
  <c r="S124" i="8"/>
  <c r="H124" i="8" s="1"/>
  <c r="E125" i="8"/>
  <c r="S126" i="8"/>
  <c r="H126" i="8" s="1"/>
  <c r="E127" i="8"/>
  <c r="S128" i="8"/>
  <c r="H128" i="8" s="1"/>
  <c r="P131" i="8"/>
  <c r="Q131" i="8" s="1"/>
  <c r="O131" i="8"/>
  <c r="D131" i="8"/>
  <c r="T133" i="8"/>
  <c r="I133" i="8" s="1"/>
  <c r="H136" i="8"/>
  <c r="O137" i="8"/>
  <c r="E137" i="8"/>
  <c r="B137" i="8"/>
  <c r="F137" i="8" s="1"/>
  <c r="S139" i="8"/>
  <c r="H139" i="8" s="1"/>
  <c r="O140" i="8"/>
  <c r="O142" i="8"/>
  <c r="G143" i="8"/>
  <c r="W144" i="8"/>
  <c r="R144" i="8"/>
  <c r="G144" i="8" s="1"/>
  <c r="X144" i="8"/>
  <c r="M144" i="8" s="1"/>
  <c r="S144" i="8"/>
  <c r="H144" i="8" s="1"/>
  <c r="V152" i="8"/>
  <c r="J160" i="8"/>
  <c r="K160" i="8"/>
  <c r="V187" i="8"/>
  <c r="S187" i="8"/>
  <c r="X187" i="8"/>
  <c r="M187" i="8" s="1"/>
  <c r="W187" i="8"/>
  <c r="L187" i="8" s="1"/>
  <c r="T187" i="8"/>
  <c r="I187" i="8" s="1"/>
  <c r="R187" i="8"/>
  <c r="J136" i="8"/>
  <c r="P140" i="8"/>
  <c r="Q140" i="8" s="1"/>
  <c r="X145" i="8"/>
  <c r="S145" i="8"/>
  <c r="W145" i="8"/>
  <c r="V145" i="8"/>
  <c r="X147" i="8"/>
  <c r="M147" i="8" s="1"/>
  <c r="V147" i="8"/>
  <c r="W147" i="8"/>
  <c r="L147" i="8" s="1"/>
  <c r="T147" i="8"/>
  <c r="I147" i="8" s="1"/>
  <c r="S147" i="8"/>
  <c r="H147" i="8" s="1"/>
  <c r="J173" i="8"/>
  <c r="E132" i="8"/>
  <c r="D139" i="8"/>
  <c r="E141" i="8"/>
  <c r="T143" i="8"/>
  <c r="I143" i="8" s="1"/>
  <c r="E146" i="8"/>
  <c r="R149" i="8"/>
  <c r="G149" i="8" s="1"/>
  <c r="D152" i="8"/>
  <c r="C152" i="8"/>
  <c r="B152" i="8"/>
  <c r="F152" i="8" s="1"/>
  <c r="J156" i="8"/>
  <c r="S160" i="8"/>
  <c r="H160" i="8" s="1"/>
  <c r="R160" i="8"/>
  <c r="G160" i="8" s="1"/>
  <c r="X160" i="8"/>
  <c r="M160" i="8" s="1"/>
  <c r="W160" i="8"/>
  <c r="L160" i="8" s="1"/>
  <c r="L164" i="8"/>
  <c r="J164" i="8"/>
  <c r="J219" i="8"/>
  <c r="L144" i="8"/>
  <c r="O153" i="8"/>
  <c r="E153" i="8"/>
  <c r="D153" i="8"/>
  <c r="C153" i="8"/>
  <c r="P154" i="8"/>
  <c r="Q154" i="8" s="1"/>
  <c r="O154" i="8"/>
  <c r="E154" i="8"/>
  <c r="D154" i="8"/>
  <c r="M159" i="8"/>
  <c r="T164" i="8"/>
  <c r="I164" i="8" s="1"/>
  <c r="X164" i="8"/>
  <c r="M164" i="8" s="1"/>
  <c r="W164" i="8"/>
  <c r="V164" i="8"/>
  <c r="K164" i="8" s="1"/>
  <c r="S164" i="8"/>
  <c r="H164" i="8" s="1"/>
  <c r="O145" i="8"/>
  <c r="C145" i="8"/>
  <c r="V151" i="8"/>
  <c r="K151" i="8" s="1"/>
  <c r="S151" i="8"/>
  <c r="H151" i="8" s="1"/>
  <c r="R151" i="8"/>
  <c r="G151" i="8" s="1"/>
  <c r="G153" i="8"/>
  <c r="L153" i="8"/>
  <c r="X155" i="8"/>
  <c r="W155" i="8"/>
  <c r="L155" i="8" s="1"/>
  <c r="V155" i="8"/>
  <c r="K155" i="8" s="1"/>
  <c r="M161" i="8"/>
  <c r="J161" i="8"/>
  <c r="J166" i="8"/>
  <c r="W169" i="8"/>
  <c r="L169" i="8" s="1"/>
  <c r="R169" i="8"/>
  <c r="G169" i="8" s="1"/>
  <c r="X169" i="8"/>
  <c r="V169" i="8"/>
  <c r="K169" i="8" s="1"/>
  <c r="T169" i="8"/>
  <c r="I169" i="8" s="1"/>
  <c r="V183" i="8"/>
  <c r="K183" i="8" s="1"/>
  <c r="X183" i="8"/>
  <c r="W183" i="8"/>
  <c r="L183" i="8" s="1"/>
  <c r="T183" i="8"/>
  <c r="I183" i="8" s="1"/>
  <c r="S183" i="8"/>
  <c r="J185" i="8"/>
  <c r="C141" i="8"/>
  <c r="O141" i="8"/>
  <c r="B145" i="8"/>
  <c r="F145" i="8" s="1"/>
  <c r="P146" i="8"/>
  <c r="Q146" i="8" s="1"/>
  <c r="D146" i="8"/>
  <c r="T151" i="8"/>
  <c r="I151" i="8" s="1"/>
  <c r="H153" i="8"/>
  <c r="I155" i="8"/>
  <c r="H155" i="8"/>
  <c r="M155" i="8"/>
  <c r="R155" i="8"/>
  <c r="G155" i="8" s="1"/>
  <c r="T160" i="8"/>
  <c r="I160" i="8" s="1"/>
  <c r="S169" i="8"/>
  <c r="H169" i="8" s="1"/>
  <c r="R183" i="8"/>
  <c r="G183" i="8" s="1"/>
  <c r="B192" i="8"/>
  <c r="F192" i="8" s="1"/>
  <c r="P192" i="8"/>
  <c r="Q192" i="8" s="1"/>
  <c r="O192" i="8"/>
  <c r="E192" i="8"/>
  <c r="D192" i="8"/>
  <c r="C192" i="8"/>
  <c r="B148" i="8"/>
  <c r="F148" i="8" s="1"/>
  <c r="P148" i="8"/>
  <c r="Q148" i="8" s="1"/>
  <c r="M151" i="8"/>
  <c r="J151" i="8"/>
  <c r="J157" i="8"/>
  <c r="I157" i="8"/>
  <c r="O162" i="8"/>
  <c r="B162" i="8"/>
  <c r="F162" i="8" s="1"/>
  <c r="P162" i="8"/>
  <c r="Q162" i="8" s="1"/>
  <c r="E162" i="8"/>
  <c r="D162" i="8"/>
  <c r="C162" i="8"/>
  <c r="R173" i="8"/>
  <c r="G173" i="8" s="1"/>
  <c r="X173" i="8"/>
  <c r="M173" i="8" s="1"/>
  <c r="W173" i="8"/>
  <c r="L173" i="8" s="1"/>
  <c r="V173" i="8"/>
  <c r="K173" i="8" s="1"/>
  <c r="T173" i="8"/>
  <c r="I173" i="8" s="1"/>
  <c r="S173" i="8"/>
  <c r="H173" i="8" s="1"/>
  <c r="H180" i="8"/>
  <c r="G180" i="8"/>
  <c r="J180" i="8"/>
  <c r="C148" i="8"/>
  <c r="O148" i="8"/>
  <c r="S149" i="8"/>
  <c r="H149" i="8" s="1"/>
  <c r="X149" i="8"/>
  <c r="M149" i="8" s="1"/>
  <c r="L157" i="8"/>
  <c r="S166" i="8"/>
  <c r="H166" i="8" s="1"/>
  <c r="X166" i="8"/>
  <c r="M166" i="8" s="1"/>
  <c r="W166" i="8"/>
  <c r="L166" i="8" s="1"/>
  <c r="V166" i="8"/>
  <c r="K166" i="8" s="1"/>
  <c r="T166" i="8"/>
  <c r="I166" i="8" s="1"/>
  <c r="R166" i="8"/>
  <c r="G166" i="8" s="1"/>
  <c r="O149" i="8"/>
  <c r="P150" i="8"/>
  <c r="Q150" i="8" s="1"/>
  <c r="O157" i="8"/>
  <c r="P158" i="8"/>
  <c r="Q158" i="8" s="1"/>
  <c r="I159" i="8"/>
  <c r="D160" i="8"/>
  <c r="P163" i="8"/>
  <c r="Q163" i="8" s="1"/>
  <c r="C163" i="8"/>
  <c r="P179" i="8"/>
  <c r="Q179" i="8" s="1"/>
  <c r="O179" i="8"/>
  <c r="E179" i="8"/>
  <c r="D179" i="8"/>
  <c r="C179" i="8"/>
  <c r="J181" i="8"/>
  <c r="G181" i="8"/>
  <c r="M181" i="8"/>
  <c r="E196" i="8"/>
  <c r="D196" i="8"/>
  <c r="C196" i="8"/>
  <c r="B196" i="8"/>
  <c r="F196" i="8" s="1"/>
  <c r="P196" i="8"/>
  <c r="Q196" i="8" s="1"/>
  <c r="O196" i="8"/>
  <c r="E215" i="8"/>
  <c r="D215" i="8"/>
  <c r="P215" i="8"/>
  <c r="Q215" i="8" s="1"/>
  <c r="O215" i="8"/>
  <c r="C215" i="8"/>
  <c r="O156" i="8"/>
  <c r="J159" i="8"/>
  <c r="E160" i="8"/>
  <c r="P171" i="8"/>
  <c r="Q171" i="8" s="1"/>
  <c r="D171" i="8"/>
  <c r="C171" i="8"/>
  <c r="J176" i="8"/>
  <c r="W177" i="8"/>
  <c r="L177" i="8" s="1"/>
  <c r="V177" i="8"/>
  <c r="K177" i="8" s="1"/>
  <c r="T177" i="8"/>
  <c r="I177" i="8" s="1"/>
  <c r="S177" i="8"/>
  <c r="H177" i="8" s="1"/>
  <c r="R177" i="8"/>
  <c r="G177" i="8" s="1"/>
  <c r="M183" i="8"/>
  <c r="J183" i="8"/>
  <c r="K187" i="8"/>
  <c r="J187" i="8"/>
  <c r="H187" i="8"/>
  <c r="G187" i="8"/>
  <c r="J190" i="8"/>
  <c r="J215" i="8"/>
  <c r="B150" i="8"/>
  <c r="F150" i="8" s="1"/>
  <c r="P156" i="8"/>
  <c r="Q156" i="8" s="1"/>
  <c r="B158" i="8"/>
  <c r="F158" i="8" s="1"/>
  <c r="O160" i="8"/>
  <c r="B171" i="8"/>
  <c r="F171" i="8" s="1"/>
  <c r="O171" i="8"/>
  <c r="V172" i="8"/>
  <c r="K172" i="8" s="1"/>
  <c r="T172" i="8"/>
  <c r="I172" i="8" s="1"/>
  <c r="C174" i="8"/>
  <c r="B174" i="8"/>
  <c r="F174" i="8" s="1"/>
  <c r="P174" i="8"/>
  <c r="Q174" i="8" s="1"/>
  <c r="O174" i="8"/>
  <c r="J177" i="8"/>
  <c r="X177" i="8"/>
  <c r="M177" i="8" s="1"/>
  <c r="S185" i="8"/>
  <c r="H185" i="8" s="1"/>
  <c r="X185" i="8"/>
  <c r="M185" i="8" s="1"/>
  <c r="W185" i="8"/>
  <c r="L185" i="8" s="1"/>
  <c r="V185" i="8"/>
  <c r="K185" i="8" s="1"/>
  <c r="T185" i="8"/>
  <c r="I185" i="8" s="1"/>
  <c r="R185" i="8"/>
  <c r="G185" i="8" s="1"/>
  <c r="O197" i="8"/>
  <c r="E197" i="8"/>
  <c r="D197" i="8"/>
  <c r="C197" i="8"/>
  <c r="P197" i="8"/>
  <c r="Q197" i="8" s="1"/>
  <c r="G208" i="8"/>
  <c r="I208" i="8"/>
  <c r="J208" i="8"/>
  <c r="C158" i="8"/>
  <c r="L159" i="8"/>
  <c r="O170" i="8"/>
  <c r="C170" i="8"/>
  <c r="B170" i="8"/>
  <c r="F170" i="8" s="1"/>
  <c r="E171" i="8"/>
  <c r="R172" i="8"/>
  <c r="G172" i="8" s="1"/>
  <c r="D174" i="8"/>
  <c r="O178" i="8"/>
  <c r="E178" i="8"/>
  <c r="D178" i="8"/>
  <c r="C178" i="8"/>
  <c r="B178" i="8"/>
  <c r="F178" i="8" s="1"/>
  <c r="J179" i="8"/>
  <c r="B197" i="8"/>
  <c r="F197" i="8" s="1"/>
  <c r="W222" i="8"/>
  <c r="V222" i="8"/>
  <c r="T222" i="8"/>
  <c r="S222" i="8"/>
  <c r="R222" i="8"/>
  <c r="X222" i="8"/>
  <c r="B165" i="8"/>
  <c r="F165" i="8" s="1"/>
  <c r="E165" i="8"/>
  <c r="D167" i="8"/>
  <c r="P167" i="8"/>
  <c r="Q167" i="8" s="1"/>
  <c r="O167" i="8"/>
  <c r="J169" i="8"/>
  <c r="M169" i="8"/>
  <c r="D170" i="8"/>
  <c r="P170" i="8"/>
  <c r="Q170" i="8" s="1"/>
  <c r="S172" i="8"/>
  <c r="H172" i="8" s="1"/>
  <c r="E174" i="8"/>
  <c r="R184" i="8"/>
  <c r="W184" i="8"/>
  <c r="X184" i="8"/>
  <c r="M184" i="8" s="1"/>
  <c r="V184" i="8"/>
  <c r="K184" i="8" s="1"/>
  <c r="T184" i="8"/>
  <c r="I184" i="8" s="1"/>
  <c r="S184" i="8"/>
  <c r="H184" i="8" s="1"/>
  <c r="X189" i="8"/>
  <c r="V189" i="8"/>
  <c r="K189" i="8" s="1"/>
  <c r="T189" i="8"/>
  <c r="I189" i="8" s="1"/>
  <c r="S189" i="8"/>
  <c r="H189" i="8" s="1"/>
  <c r="W189" i="8"/>
  <c r="L189" i="8" s="1"/>
  <c r="R189" i="8"/>
  <c r="J195" i="8"/>
  <c r="P198" i="8"/>
  <c r="Q198" i="8" s="1"/>
  <c r="O198" i="8"/>
  <c r="E198" i="8"/>
  <c r="D198" i="8"/>
  <c r="C198" i="8"/>
  <c r="X199" i="8"/>
  <c r="M199" i="8" s="1"/>
  <c r="W199" i="8"/>
  <c r="V199" i="8"/>
  <c r="K199" i="8" s="1"/>
  <c r="T199" i="8"/>
  <c r="S199" i="8"/>
  <c r="H199" i="8" s="1"/>
  <c r="C166" i="8"/>
  <c r="O166" i="8"/>
  <c r="W172" i="8"/>
  <c r="L172" i="8" s="1"/>
  <c r="X180" i="8"/>
  <c r="M180" i="8" s="1"/>
  <c r="W180" i="8"/>
  <c r="L180" i="8" s="1"/>
  <c r="V180" i="8"/>
  <c r="K180" i="8" s="1"/>
  <c r="T180" i="8"/>
  <c r="I180" i="8" s="1"/>
  <c r="H183" i="8"/>
  <c r="G189" i="8"/>
  <c r="M189" i="8"/>
  <c r="J198" i="8"/>
  <c r="S204" i="8"/>
  <c r="R204" i="8"/>
  <c r="X204" i="8"/>
  <c r="W204" i="8"/>
  <c r="V204" i="8"/>
  <c r="T204" i="8"/>
  <c r="J206" i="8"/>
  <c r="G206" i="8"/>
  <c r="K210" i="8"/>
  <c r="J210" i="8"/>
  <c r="G210" i="8"/>
  <c r="T220" i="8"/>
  <c r="S220" i="8"/>
  <c r="R220" i="8"/>
  <c r="V220" i="8"/>
  <c r="X220" i="8"/>
  <c r="W220" i="8"/>
  <c r="P168" i="8"/>
  <c r="Q168" i="8" s="1"/>
  <c r="E173" i="8"/>
  <c r="O175" i="8"/>
  <c r="P176" i="8"/>
  <c r="Q176" i="8" s="1"/>
  <c r="E181" i="8"/>
  <c r="G184" i="8"/>
  <c r="I199" i="8"/>
  <c r="G199" i="8"/>
  <c r="P175" i="8"/>
  <c r="Q175" i="8" s="1"/>
  <c r="O182" i="8"/>
  <c r="J203" i="8"/>
  <c r="I203" i="8"/>
  <c r="K203" i="8"/>
  <c r="J223" i="8"/>
  <c r="P182" i="8"/>
  <c r="Q182" i="8" s="1"/>
  <c r="O189" i="8"/>
  <c r="E189" i="8"/>
  <c r="D189" i="8"/>
  <c r="C189" i="8"/>
  <c r="G191" i="8"/>
  <c r="X191" i="8"/>
  <c r="M191" i="8" s="1"/>
  <c r="W191" i="8"/>
  <c r="V191" i="8"/>
  <c r="K191" i="8" s="1"/>
  <c r="J200" i="8"/>
  <c r="T202" i="8"/>
  <c r="S202" i="8"/>
  <c r="R202" i="8"/>
  <c r="W202" i="8"/>
  <c r="J205" i="8"/>
  <c r="E207" i="8"/>
  <c r="P207" i="8"/>
  <c r="Q207" i="8" s="1"/>
  <c r="D207" i="8"/>
  <c r="O207" i="8"/>
  <c r="C207" i="8"/>
  <c r="S210" i="8"/>
  <c r="H210" i="8" s="1"/>
  <c r="X210" i="8"/>
  <c r="M210" i="8" s="1"/>
  <c r="W210" i="8"/>
  <c r="L210" i="8" s="1"/>
  <c r="V210" i="8"/>
  <c r="T210" i="8"/>
  <c r="I210" i="8" s="1"/>
  <c r="R210" i="8"/>
  <c r="T213" i="8"/>
  <c r="S213" i="8"/>
  <c r="R213" i="8"/>
  <c r="W213" i="8"/>
  <c r="X213" i="8"/>
  <c r="V213" i="8"/>
  <c r="S193" i="8"/>
  <c r="H193" i="8" s="1"/>
  <c r="X193" i="8"/>
  <c r="M193" i="8" s="1"/>
  <c r="V195" i="8"/>
  <c r="K195" i="8" s="1"/>
  <c r="T195" i="8"/>
  <c r="I195" i="8" s="1"/>
  <c r="S195" i="8"/>
  <c r="H195" i="8" s="1"/>
  <c r="R195" i="8"/>
  <c r="G195" i="8" s="1"/>
  <c r="O201" i="8"/>
  <c r="P201" i="8"/>
  <c r="Q201" i="8" s="1"/>
  <c r="E201" i="8"/>
  <c r="D201" i="8"/>
  <c r="C201" i="8"/>
  <c r="B201" i="8"/>
  <c r="F201" i="8" s="1"/>
  <c r="X202" i="8"/>
  <c r="H203" i="8"/>
  <c r="B207" i="8"/>
  <c r="F207" i="8" s="1"/>
  <c r="J211" i="8"/>
  <c r="L211" i="8"/>
  <c r="M211" i="8"/>
  <c r="K211" i="8"/>
  <c r="H211" i="8"/>
  <c r="V214" i="8"/>
  <c r="T214" i="8"/>
  <c r="S214" i="8"/>
  <c r="X214" i="8"/>
  <c r="W214" i="8"/>
  <c r="R214" i="8"/>
  <c r="C175" i="8"/>
  <c r="B182" i="8"/>
  <c r="F182" i="8" s="1"/>
  <c r="L184" i="8"/>
  <c r="D186" i="8"/>
  <c r="B186" i="8"/>
  <c r="F186" i="8" s="1"/>
  <c r="P186" i="8"/>
  <c r="Q186" i="8" s="1"/>
  <c r="D188" i="8"/>
  <c r="B188" i="8"/>
  <c r="F188" i="8" s="1"/>
  <c r="O188" i="8"/>
  <c r="S191" i="8"/>
  <c r="H191" i="8" s="1"/>
  <c r="R193" i="8"/>
  <c r="G193" i="8" s="1"/>
  <c r="W195" i="8"/>
  <c r="L195" i="8" s="1"/>
  <c r="T205" i="8"/>
  <c r="I205" i="8" s="1"/>
  <c r="S205" i="8"/>
  <c r="H205" i="8" s="1"/>
  <c r="X205" i="8"/>
  <c r="M205" i="8" s="1"/>
  <c r="W205" i="8"/>
  <c r="L205" i="8" s="1"/>
  <c r="V205" i="8"/>
  <c r="K205" i="8" s="1"/>
  <c r="R205" i="8"/>
  <c r="G205" i="8" s="1"/>
  <c r="V221" i="8"/>
  <c r="T221" i="8"/>
  <c r="S221" i="8"/>
  <c r="R221" i="8"/>
  <c r="W221" i="8"/>
  <c r="O183" i="8"/>
  <c r="C184" i="8"/>
  <c r="C185" i="8"/>
  <c r="O185" i="8"/>
  <c r="C186" i="8"/>
  <c r="O186" i="8"/>
  <c r="C188" i="8"/>
  <c r="P188" i="8"/>
  <c r="Q188" i="8" s="1"/>
  <c r="P190" i="8"/>
  <c r="Q190" i="8" s="1"/>
  <c r="E190" i="8"/>
  <c r="D190" i="8"/>
  <c r="T191" i="8"/>
  <c r="I191" i="8" s="1"/>
  <c r="T193" i="8"/>
  <c r="I193" i="8" s="1"/>
  <c r="X195" i="8"/>
  <c r="M195" i="8" s="1"/>
  <c r="L199" i="8"/>
  <c r="R203" i="8"/>
  <c r="G203" i="8" s="1"/>
  <c r="X203" i="8"/>
  <c r="M203" i="8" s="1"/>
  <c r="W203" i="8"/>
  <c r="L203" i="8" s="1"/>
  <c r="V203" i="8"/>
  <c r="V206" i="8"/>
  <c r="K206" i="8" s="1"/>
  <c r="T206" i="8"/>
  <c r="I206" i="8" s="1"/>
  <c r="X206" i="8"/>
  <c r="M206" i="8" s="1"/>
  <c r="W206" i="8"/>
  <c r="L206" i="8" s="1"/>
  <c r="S206" i="8"/>
  <c r="H206" i="8" s="1"/>
  <c r="R206" i="8"/>
  <c r="X221" i="8"/>
  <c r="O193" i="8"/>
  <c r="P194" i="8"/>
  <c r="Q194" i="8" s="1"/>
  <c r="E199" i="8"/>
  <c r="P200" i="8"/>
  <c r="Q200" i="8" s="1"/>
  <c r="O202" i="8"/>
  <c r="X208" i="8"/>
  <c r="M208" i="8" s="1"/>
  <c r="W208" i="8"/>
  <c r="L208" i="8" s="1"/>
  <c r="D213" i="8"/>
  <c r="C213" i="8"/>
  <c r="B213" i="8"/>
  <c r="F213" i="8" s="1"/>
  <c r="J216" i="8"/>
  <c r="E222" i="8"/>
  <c r="D222" i="8"/>
  <c r="C222" i="8"/>
  <c r="B222" i="8"/>
  <c r="F222" i="8" s="1"/>
  <c r="O222" i="8"/>
  <c r="J230" i="8"/>
  <c r="T228" i="8"/>
  <c r="S228" i="8"/>
  <c r="R228" i="8"/>
  <c r="X228" i="8"/>
  <c r="V228" i="8"/>
  <c r="B194" i="8"/>
  <c r="F194" i="8" s="1"/>
  <c r="C195" i="8"/>
  <c r="S208" i="8"/>
  <c r="H208" i="8" s="1"/>
  <c r="X216" i="8"/>
  <c r="M216" i="8" s="1"/>
  <c r="W216" i="8"/>
  <c r="L216" i="8" s="1"/>
  <c r="V216" i="8"/>
  <c r="K216" i="8" s="1"/>
  <c r="T216" i="8"/>
  <c r="I216" i="8" s="1"/>
  <c r="S217" i="8"/>
  <c r="X224" i="8"/>
  <c r="M224" i="8" s="1"/>
  <c r="W224" i="8"/>
  <c r="L224" i="8" s="1"/>
  <c r="V224" i="8"/>
  <c r="K224" i="8" s="1"/>
  <c r="T224" i="8"/>
  <c r="I224" i="8" s="1"/>
  <c r="S227" i="8"/>
  <c r="R227" i="8"/>
  <c r="X227" i="8"/>
  <c r="M227" i="8" s="1"/>
  <c r="W227" i="8"/>
  <c r="L227" i="8" s="1"/>
  <c r="T227" i="8"/>
  <c r="W228" i="8"/>
  <c r="W230" i="8"/>
  <c r="L230" i="8" s="1"/>
  <c r="V230" i="8"/>
  <c r="K230" i="8" s="1"/>
  <c r="T230" i="8"/>
  <c r="I230" i="8" s="1"/>
  <c r="S230" i="8"/>
  <c r="H230" i="8" s="1"/>
  <c r="R230" i="8"/>
  <c r="G230" i="8" s="1"/>
  <c r="X230" i="8"/>
  <c r="M230" i="8" s="1"/>
  <c r="C204" i="8"/>
  <c r="B204" i="8"/>
  <c r="F204" i="8" s="1"/>
  <c r="E214" i="8"/>
  <c r="D214" i="8"/>
  <c r="C214" i="8"/>
  <c r="O214" i="8"/>
  <c r="G216" i="8"/>
  <c r="R224" i="8"/>
  <c r="G224" i="8" s="1"/>
  <c r="R226" i="8"/>
  <c r="G226" i="8" s="1"/>
  <c r="V227" i="8"/>
  <c r="K227" i="8" s="1"/>
  <c r="O231" i="8"/>
  <c r="E231" i="8"/>
  <c r="D231" i="8"/>
  <c r="C231" i="8"/>
  <c r="B231" i="8"/>
  <c r="F231" i="8" s="1"/>
  <c r="P231" i="8"/>
  <c r="Q231" i="8" s="1"/>
  <c r="B202" i="8"/>
  <c r="F202" i="8" s="1"/>
  <c r="D204" i="8"/>
  <c r="D205" i="8"/>
  <c r="C205" i="8"/>
  <c r="V208" i="8"/>
  <c r="K208" i="8" s="1"/>
  <c r="C212" i="8"/>
  <c r="B212" i="8"/>
  <c r="F212" i="8" s="1"/>
  <c r="E212" i="8"/>
  <c r="P212" i="8"/>
  <c r="Q212" i="8" s="1"/>
  <c r="B214" i="8"/>
  <c r="F214" i="8" s="1"/>
  <c r="S216" i="8"/>
  <c r="H216" i="8" s="1"/>
  <c r="R218" i="8"/>
  <c r="G218" i="8" s="1"/>
  <c r="X218" i="8"/>
  <c r="M218" i="8" s="1"/>
  <c r="W218" i="8"/>
  <c r="L218" i="8" s="1"/>
  <c r="S218" i="8"/>
  <c r="H218" i="8" s="1"/>
  <c r="S224" i="8"/>
  <c r="H224" i="8" s="1"/>
  <c r="E206" i="8"/>
  <c r="D206" i="8"/>
  <c r="P209" i="8"/>
  <c r="Q209" i="8" s="1"/>
  <c r="O209" i="8"/>
  <c r="B209" i="8"/>
  <c r="F209" i="8" s="1"/>
  <c r="X217" i="8"/>
  <c r="W217" i="8"/>
  <c r="V217" i="8"/>
  <c r="R217" i="8"/>
  <c r="J218" i="8"/>
  <c r="O223" i="8"/>
  <c r="E223" i="8"/>
  <c r="D223" i="8"/>
  <c r="C223" i="8"/>
  <c r="P223" i="8"/>
  <c r="Q223" i="8" s="1"/>
  <c r="X225" i="8"/>
  <c r="W225" i="8"/>
  <c r="V225" i="8"/>
  <c r="T225" i="8"/>
  <c r="R225" i="8"/>
  <c r="J227" i="8"/>
  <c r="I227" i="8"/>
  <c r="H227" i="8"/>
  <c r="G227" i="8"/>
  <c r="D211" i="8"/>
  <c r="B217" i="8"/>
  <c r="F217" i="8" s="1"/>
  <c r="D219" i="8"/>
  <c r="E220" i="8"/>
  <c r="B225" i="8"/>
  <c r="F225" i="8" s="1"/>
  <c r="D227" i="8"/>
  <c r="E228" i="8"/>
  <c r="O230" i="8"/>
  <c r="P229" i="8"/>
  <c r="Q229" i="8" s="1"/>
  <c r="E217" i="8"/>
  <c r="E225" i="8"/>
  <c r="P219" i="8"/>
  <c r="Q219" i="8" s="1"/>
  <c r="B221" i="8"/>
  <c r="F221" i="8" s="1"/>
  <c r="B229" i="8"/>
  <c r="F229" i="8" s="1"/>
  <c r="C230" i="8"/>
  <c r="O217" i="8"/>
  <c r="B220" i="8"/>
  <c r="F220" i="8" s="1"/>
  <c r="C221" i="8"/>
  <c r="O225" i="8"/>
  <c r="B228" i="8"/>
  <c r="F228" i="8" s="1"/>
  <c r="C229" i="8"/>
  <c r="D230" i="8"/>
  <c r="D229" i="8"/>
  <c r="X121" i="8" l="1"/>
  <c r="M121" i="8" s="1"/>
  <c r="S161" i="8"/>
  <c r="H161" i="8" s="1"/>
  <c r="V161" i="8"/>
  <c r="K161" i="8" s="1"/>
  <c r="T161" i="8"/>
  <c r="I161" i="8" s="1"/>
  <c r="R161" i="8"/>
  <c r="G161" i="8" s="1"/>
  <c r="R121" i="8"/>
  <c r="G121" i="8" s="1"/>
  <c r="R145" i="8"/>
  <c r="G145" i="8" s="1"/>
  <c r="T145" i="8"/>
  <c r="X226" i="8"/>
  <c r="M226" i="8" s="1"/>
  <c r="T226" i="8"/>
  <c r="I226" i="8" s="1"/>
  <c r="V218" i="8"/>
  <c r="K218" i="8" s="1"/>
  <c r="T218" i="8"/>
  <c r="I218" i="8" s="1"/>
  <c r="S226" i="8"/>
  <c r="H226" i="8" s="1"/>
  <c r="V226" i="8"/>
  <c r="K226" i="8" s="1"/>
  <c r="J209" i="8"/>
  <c r="X170" i="8"/>
  <c r="M170" i="8" s="1"/>
  <c r="S170" i="8"/>
  <c r="R170" i="8"/>
  <c r="W170" i="8"/>
  <c r="V170" i="8"/>
  <c r="K170" i="8" s="1"/>
  <c r="T170" i="8"/>
  <c r="S219" i="8"/>
  <c r="H219" i="8" s="1"/>
  <c r="R219" i="8"/>
  <c r="G219" i="8" s="1"/>
  <c r="X219" i="8"/>
  <c r="M219" i="8" s="1"/>
  <c r="T219" i="8"/>
  <c r="I219" i="8" s="1"/>
  <c r="W219" i="8"/>
  <c r="L219" i="8" s="1"/>
  <c r="V219" i="8"/>
  <c r="K219" i="8" s="1"/>
  <c r="M214" i="8"/>
  <c r="L214" i="8"/>
  <c r="K214" i="8"/>
  <c r="G214" i="8"/>
  <c r="J214" i="8"/>
  <c r="I214" i="8"/>
  <c r="H214" i="8"/>
  <c r="J194" i="8"/>
  <c r="W190" i="8"/>
  <c r="L190" i="8" s="1"/>
  <c r="V190" i="8"/>
  <c r="K190" i="8" s="1"/>
  <c r="T190" i="8"/>
  <c r="I190" i="8" s="1"/>
  <c r="X190" i="8"/>
  <c r="M190" i="8" s="1"/>
  <c r="S190" i="8"/>
  <c r="H190" i="8" s="1"/>
  <c r="R190" i="8"/>
  <c r="G190" i="8" s="1"/>
  <c r="T182" i="8"/>
  <c r="I182" i="8" s="1"/>
  <c r="S182" i="8"/>
  <c r="R182" i="8"/>
  <c r="X182" i="8"/>
  <c r="W182" i="8"/>
  <c r="L182" i="8" s="1"/>
  <c r="V182" i="8"/>
  <c r="K182" i="8" s="1"/>
  <c r="V168" i="8"/>
  <c r="K168" i="8" s="1"/>
  <c r="X168" i="8"/>
  <c r="M168" i="8" s="1"/>
  <c r="W168" i="8"/>
  <c r="L168" i="8" s="1"/>
  <c r="T168" i="8"/>
  <c r="I168" i="8" s="1"/>
  <c r="S168" i="8"/>
  <c r="H168" i="8" s="1"/>
  <c r="R168" i="8"/>
  <c r="G168" i="8" s="1"/>
  <c r="X198" i="8"/>
  <c r="M198" i="8" s="1"/>
  <c r="W198" i="8"/>
  <c r="L198" i="8" s="1"/>
  <c r="V198" i="8"/>
  <c r="K198" i="8" s="1"/>
  <c r="T198" i="8"/>
  <c r="I198" i="8" s="1"/>
  <c r="R198" i="8"/>
  <c r="G198" i="8" s="1"/>
  <c r="S198" i="8"/>
  <c r="H198" i="8" s="1"/>
  <c r="J165" i="8"/>
  <c r="M165" i="8"/>
  <c r="L165" i="8"/>
  <c r="K165" i="8"/>
  <c r="I165" i="8"/>
  <c r="H165" i="8"/>
  <c r="G165" i="8"/>
  <c r="V158" i="8"/>
  <c r="T158" i="8"/>
  <c r="I158" i="8" s="1"/>
  <c r="S158" i="8"/>
  <c r="H158" i="8" s="1"/>
  <c r="R158" i="8"/>
  <c r="G158" i="8" s="1"/>
  <c r="X158" i="8"/>
  <c r="M158" i="8" s="1"/>
  <c r="W158" i="8"/>
  <c r="R148" i="8"/>
  <c r="W148" i="8"/>
  <c r="X148" i="8"/>
  <c r="V148" i="8"/>
  <c r="K148" i="8" s="1"/>
  <c r="T148" i="8"/>
  <c r="I148" i="8" s="1"/>
  <c r="S148" i="8"/>
  <c r="H148" i="8" s="1"/>
  <c r="L152" i="8"/>
  <c r="K152" i="8"/>
  <c r="J152" i="8"/>
  <c r="M152" i="8"/>
  <c r="I152" i="8"/>
  <c r="H152" i="8"/>
  <c r="G152" i="8"/>
  <c r="L123" i="8"/>
  <c r="G123" i="8"/>
  <c r="M123" i="8"/>
  <c r="I123" i="8"/>
  <c r="K123" i="8"/>
  <c r="J123" i="8"/>
  <c r="H123" i="8"/>
  <c r="L139" i="8"/>
  <c r="J138" i="8"/>
  <c r="J129" i="8"/>
  <c r="T186" i="8"/>
  <c r="R186" i="8"/>
  <c r="G186" i="8" s="1"/>
  <c r="X186" i="8"/>
  <c r="M186" i="8" s="1"/>
  <c r="W186" i="8"/>
  <c r="L186" i="8" s="1"/>
  <c r="V186" i="8"/>
  <c r="K186" i="8" s="1"/>
  <c r="S186" i="8"/>
  <c r="I225" i="8"/>
  <c r="H225" i="8"/>
  <c r="G225" i="8"/>
  <c r="M225" i="8"/>
  <c r="J225" i="8"/>
  <c r="L225" i="8"/>
  <c r="K225" i="8"/>
  <c r="X223" i="8"/>
  <c r="M223" i="8" s="1"/>
  <c r="W223" i="8"/>
  <c r="L223" i="8" s="1"/>
  <c r="V223" i="8"/>
  <c r="K223" i="8" s="1"/>
  <c r="T223" i="8"/>
  <c r="I223" i="8" s="1"/>
  <c r="S223" i="8"/>
  <c r="H223" i="8" s="1"/>
  <c r="R223" i="8"/>
  <c r="G223" i="8" s="1"/>
  <c r="X209" i="8"/>
  <c r="M209" i="8" s="1"/>
  <c r="R209" i="8"/>
  <c r="G209" i="8" s="1"/>
  <c r="W209" i="8"/>
  <c r="L209" i="8" s="1"/>
  <c r="V209" i="8"/>
  <c r="K209" i="8" s="1"/>
  <c r="T209" i="8"/>
  <c r="I209" i="8" s="1"/>
  <c r="S209" i="8"/>
  <c r="H209" i="8" s="1"/>
  <c r="S212" i="8"/>
  <c r="H212" i="8" s="1"/>
  <c r="R212" i="8"/>
  <c r="G212" i="8" s="1"/>
  <c r="V212" i="8"/>
  <c r="K212" i="8" s="1"/>
  <c r="T212" i="8"/>
  <c r="I212" i="8" s="1"/>
  <c r="W212" i="8"/>
  <c r="X212" i="8"/>
  <c r="M212" i="8" s="1"/>
  <c r="H202" i="8"/>
  <c r="K202" i="8"/>
  <c r="J202" i="8"/>
  <c r="I202" i="8"/>
  <c r="G202" i="8"/>
  <c r="M202" i="8"/>
  <c r="L202" i="8"/>
  <c r="W188" i="8"/>
  <c r="L188" i="8" s="1"/>
  <c r="T188" i="8"/>
  <c r="I188" i="8" s="1"/>
  <c r="R188" i="8"/>
  <c r="G188" i="8" s="1"/>
  <c r="X188" i="8"/>
  <c r="M188" i="8" s="1"/>
  <c r="V188" i="8"/>
  <c r="S188" i="8"/>
  <c r="H188" i="8" s="1"/>
  <c r="W215" i="8"/>
  <c r="L215" i="8" s="1"/>
  <c r="V215" i="8"/>
  <c r="K215" i="8" s="1"/>
  <c r="T215" i="8"/>
  <c r="I215" i="8" s="1"/>
  <c r="X215" i="8"/>
  <c r="M215" i="8" s="1"/>
  <c r="S215" i="8"/>
  <c r="H215" i="8" s="1"/>
  <c r="R215" i="8"/>
  <c r="G215" i="8" s="1"/>
  <c r="J148" i="8"/>
  <c r="M148" i="8"/>
  <c r="L148" i="8"/>
  <c r="G148" i="8"/>
  <c r="X138" i="8"/>
  <c r="M138" i="8" s="1"/>
  <c r="W138" i="8"/>
  <c r="L138" i="8" s="1"/>
  <c r="S138" i="8"/>
  <c r="H138" i="8" s="1"/>
  <c r="V138" i="8"/>
  <c r="K138" i="8" s="1"/>
  <c r="T138" i="8"/>
  <c r="I138" i="8" s="1"/>
  <c r="R138" i="8"/>
  <c r="G138" i="8" s="1"/>
  <c r="W129" i="8"/>
  <c r="L129" i="8" s="1"/>
  <c r="V129" i="8"/>
  <c r="K129" i="8" s="1"/>
  <c r="R129" i="8"/>
  <c r="G129" i="8" s="1"/>
  <c r="X129" i="8"/>
  <c r="M129" i="8" s="1"/>
  <c r="T129" i="8"/>
  <c r="I129" i="8" s="1"/>
  <c r="S129" i="8"/>
  <c r="H129" i="8" s="1"/>
  <c r="S122" i="8"/>
  <c r="H122" i="8" s="1"/>
  <c r="V122" i="8"/>
  <c r="K122" i="8" s="1"/>
  <c r="T122" i="8"/>
  <c r="I122" i="8" s="1"/>
  <c r="R122" i="8"/>
  <c r="G122" i="8" s="1"/>
  <c r="W122" i="8"/>
  <c r="L122" i="8" s="1"/>
  <c r="X122" i="8"/>
  <c r="M122" i="8" s="1"/>
  <c r="L228" i="8"/>
  <c r="K228" i="8"/>
  <c r="J228" i="8"/>
  <c r="I228" i="8"/>
  <c r="H228" i="8"/>
  <c r="G228" i="8"/>
  <c r="M228" i="8"/>
  <c r="J201" i="8"/>
  <c r="R156" i="8"/>
  <c r="G156" i="8" s="1"/>
  <c r="X156" i="8"/>
  <c r="M156" i="8" s="1"/>
  <c r="W156" i="8"/>
  <c r="L156" i="8" s="1"/>
  <c r="S156" i="8"/>
  <c r="H156" i="8" s="1"/>
  <c r="T156" i="8"/>
  <c r="I156" i="8" s="1"/>
  <c r="V156" i="8"/>
  <c r="K156" i="8" s="1"/>
  <c r="R192" i="8"/>
  <c r="G192" i="8" s="1"/>
  <c r="X192" i="8"/>
  <c r="M192" i="8" s="1"/>
  <c r="W192" i="8"/>
  <c r="L192" i="8" s="1"/>
  <c r="V192" i="8"/>
  <c r="K192" i="8" s="1"/>
  <c r="T192" i="8"/>
  <c r="I192" i="8" s="1"/>
  <c r="S192" i="8"/>
  <c r="H192" i="8" s="1"/>
  <c r="T142" i="8"/>
  <c r="I142" i="8" s="1"/>
  <c r="X142" i="8"/>
  <c r="M142" i="8" s="1"/>
  <c r="V142" i="8"/>
  <c r="K142" i="8" s="1"/>
  <c r="S142" i="8"/>
  <c r="H142" i="8" s="1"/>
  <c r="R142" i="8"/>
  <c r="W142" i="8"/>
  <c r="L142" i="8" s="1"/>
  <c r="J150" i="8"/>
  <c r="K150" i="8"/>
  <c r="J192" i="8"/>
  <c r="L220" i="8"/>
  <c r="K220" i="8"/>
  <c r="J220" i="8"/>
  <c r="I220" i="8"/>
  <c r="H220" i="8"/>
  <c r="M220" i="8"/>
  <c r="G220" i="8"/>
  <c r="X231" i="8"/>
  <c r="M231" i="8" s="1"/>
  <c r="W231" i="8"/>
  <c r="L231" i="8" s="1"/>
  <c r="V231" i="8"/>
  <c r="K231" i="8" s="1"/>
  <c r="T231" i="8"/>
  <c r="S231" i="8"/>
  <c r="H231" i="8" s="1"/>
  <c r="R231" i="8"/>
  <c r="W200" i="8"/>
  <c r="L200" i="8" s="1"/>
  <c r="T200" i="8"/>
  <c r="I200" i="8" s="1"/>
  <c r="S200" i="8"/>
  <c r="H200" i="8" s="1"/>
  <c r="R200" i="8"/>
  <c r="G200" i="8" s="1"/>
  <c r="X200" i="8"/>
  <c r="M200" i="8" s="1"/>
  <c r="V200" i="8"/>
  <c r="K200" i="8" s="1"/>
  <c r="X201" i="8"/>
  <c r="M201" i="8" s="1"/>
  <c r="W201" i="8"/>
  <c r="L201" i="8" s="1"/>
  <c r="V201" i="8"/>
  <c r="K201" i="8" s="1"/>
  <c r="T201" i="8"/>
  <c r="I201" i="8" s="1"/>
  <c r="S201" i="8"/>
  <c r="H201" i="8" s="1"/>
  <c r="R201" i="8"/>
  <c r="G201" i="8" s="1"/>
  <c r="G178" i="8"/>
  <c r="M178" i="8"/>
  <c r="L178" i="8"/>
  <c r="K178" i="8"/>
  <c r="J178" i="8"/>
  <c r="I178" i="8"/>
  <c r="H178" i="8"/>
  <c r="J171" i="8"/>
  <c r="T150" i="8"/>
  <c r="I150" i="8" s="1"/>
  <c r="R150" i="8"/>
  <c r="G150" i="8" s="1"/>
  <c r="W150" i="8"/>
  <c r="L150" i="8" s="1"/>
  <c r="V150" i="8"/>
  <c r="S150" i="8"/>
  <c r="H150" i="8" s="1"/>
  <c r="X150" i="8"/>
  <c r="M150" i="8" s="1"/>
  <c r="L191" i="8"/>
  <c r="W146" i="8"/>
  <c r="L146" i="8" s="1"/>
  <c r="T146" i="8"/>
  <c r="I146" i="8" s="1"/>
  <c r="X146" i="8"/>
  <c r="M146" i="8" s="1"/>
  <c r="V146" i="8"/>
  <c r="K146" i="8" s="1"/>
  <c r="S146" i="8"/>
  <c r="H146" i="8" s="1"/>
  <c r="R146" i="8"/>
  <c r="G146" i="8" s="1"/>
  <c r="X154" i="8"/>
  <c r="M154" i="8" s="1"/>
  <c r="W154" i="8"/>
  <c r="V154" i="8"/>
  <c r="K154" i="8" s="1"/>
  <c r="T154" i="8"/>
  <c r="I154" i="8" s="1"/>
  <c r="S154" i="8"/>
  <c r="H154" i="8" s="1"/>
  <c r="R154" i="8"/>
  <c r="G154" i="8" s="1"/>
  <c r="R140" i="8"/>
  <c r="W140" i="8"/>
  <c r="L140" i="8" s="1"/>
  <c r="X140" i="8"/>
  <c r="M140" i="8" s="1"/>
  <c r="V140" i="8"/>
  <c r="K140" i="8" s="1"/>
  <c r="T140" i="8"/>
  <c r="I140" i="8" s="1"/>
  <c r="S140" i="8"/>
  <c r="H140" i="8" s="1"/>
  <c r="J122" i="8"/>
  <c r="V135" i="8"/>
  <c r="K135" i="8" s="1"/>
  <c r="T135" i="8"/>
  <c r="I135" i="8" s="1"/>
  <c r="S135" i="8"/>
  <c r="H135" i="8" s="1"/>
  <c r="X135" i="8"/>
  <c r="M135" i="8" s="1"/>
  <c r="W135" i="8"/>
  <c r="L135" i="8" s="1"/>
  <c r="R135" i="8"/>
  <c r="G135" i="8" s="1"/>
  <c r="M222" i="8"/>
  <c r="L222" i="8"/>
  <c r="K222" i="8"/>
  <c r="J222" i="8"/>
  <c r="G222" i="8"/>
  <c r="I222" i="8"/>
  <c r="H222" i="8"/>
  <c r="J197" i="8"/>
  <c r="V229" i="8"/>
  <c r="T229" i="8"/>
  <c r="I229" i="8" s="1"/>
  <c r="S229" i="8"/>
  <c r="H229" i="8" s="1"/>
  <c r="R229" i="8"/>
  <c r="G229" i="8" s="1"/>
  <c r="W229" i="8"/>
  <c r="X229" i="8"/>
  <c r="M229" i="8" s="1"/>
  <c r="J212" i="8"/>
  <c r="L212" i="8"/>
  <c r="G231" i="8"/>
  <c r="J231" i="8"/>
  <c r="I231" i="8"/>
  <c r="J182" i="8"/>
  <c r="H182" i="8"/>
  <c r="G182" i="8"/>
  <c r="M182" i="8"/>
  <c r="J207" i="8"/>
  <c r="W207" i="8"/>
  <c r="L207" i="8" s="1"/>
  <c r="V207" i="8"/>
  <c r="K207" i="8" s="1"/>
  <c r="X207" i="8"/>
  <c r="M207" i="8" s="1"/>
  <c r="T207" i="8"/>
  <c r="I207" i="8" s="1"/>
  <c r="S207" i="8"/>
  <c r="H207" i="8" s="1"/>
  <c r="R207" i="8"/>
  <c r="G207" i="8" s="1"/>
  <c r="G170" i="8"/>
  <c r="J170" i="8"/>
  <c r="L170" i="8"/>
  <c r="I170" i="8"/>
  <c r="H170" i="8"/>
  <c r="T171" i="8"/>
  <c r="I171" i="8" s="1"/>
  <c r="S171" i="8"/>
  <c r="H171" i="8" s="1"/>
  <c r="V171" i="8"/>
  <c r="K171" i="8" s="1"/>
  <c r="R171" i="8"/>
  <c r="G171" i="8" s="1"/>
  <c r="W171" i="8"/>
  <c r="L171" i="8" s="1"/>
  <c r="X171" i="8"/>
  <c r="M171" i="8" s="1"/>
  <c r="X179" i="8"/>
  <c r="M179" i="8" s="1"/>
  <c r="W179" i="8"/>
  <c r="L179" i="8" s="1"/>
  <c r="V179" i="8"/>
  <c r="K179" i="8" s="1"/>
  <c r="T179" i="8"/>
  <c r="I179" i="8" s="1"/>
  <c r="S179" i="8"/>
  <c r="H179" i="8" s="1"/>
  <c r="R179" i="8"/>
  <c r="G179" i="8" s="1"/>
  <c r="K145" i="8"/>
  <c r="M145" i="8"/>
  <c r="L145" i="8"/>
  <c r="J145" i="8"/>
  <c r="I145" i="8"/>
  <c r="H145" i="8"/>
  <c r="J135" i="8"/>
  <c r="T175" i="8"/>
  <c r="I175" i="8" s="1"/>
  <c r="S175" i="8"/>
  <c r="H175" i="8" s="1"/>
  <c r="X175" i="8"/>
  <c r="M175" i="8" s="1"/>
  <c r="W175" i="8"/>
  <c r="V175" i="8"/>
  <c r="K175" i="8" s="1"/>
  <c r="R175" i="8"/>
  <c r="G175" i="8" s="1"/>
  <c r="J196" i="8"/>
  <c r="L134" i="8"/>
  <c r="K134" i="8"/>
  <c r="J134" i="8"/>
  <c r="G134" i="8"/>
  <c r="M134" i="8"/>
  <c r="I134" i="8"/>
  <c r="H134" i="8"/>
  <c r="M221" i="8"/>
  <c r="L221" i="8"/>
  <c r="K221" i="8"/>
  <c r="J221" i="8"/>
  <c r="I221" i="8"/>
  <c r="H221" i="8"/>
  <c r="G221" i="8"/>
  <c r="K204" i="8"/>
  <c r="J204" i="8"/>
  <c r="M204" i="8"/>
  <c r="L204" i="8"/>
  <c r="I204" i="8"/>
  <c r="H204" i="8"/>
  <c r="G204" i="8"/>
  <c r="J186" i="8"/>
  <c r="H186" i="8"/>
  <c r="I186" i="8"/>
  <c r="X197" i="8"/>
  <c r="M197" i="8" s="1"/>
  <c r="W197" i="8"/>
  <c r="L197" i="8" s="1"/>
  <c r="V197" i="8"/>
  <c r="K197" i="8" s="1"/>
  <c r="T197" i="8"/>
  <c r="I197" i="8" s="1"/>
  <c r="S197" i="8"/>
  <c r="H197" i="8" s="1"/>
  <c r="R197" i="8"/>
  <c r="G197" i="8" s="1"/>
  <c r="I217" i="8"/>
  <c r="H217" i="8"/>
  <c r="G217" i="8"/>
  <c r="M217" i="8"/>
  <c r="J217" i="8"/>
  <c r="L217" i="8"/>
  <c r="K217" i="8"/>
  <c r="L213" i="8"/>
  <c r="K213" i="8"/>
  <c r="J213" i="8"/>
  <c r="M213" i="8"/>
  <c r="I213" i="8"/>
  <c r="H213" i="8"/>
  <c r="G213" i="8"/>
  <c r="T194" i="8"/>
  <c r="I194" i="8" s="1"/>
  <c r="S194" i="8"/>
  <c r="H194" i="8" s="1"/>
  <c r="R194" i="8"/>
  <c r="G194" i="8" s="1"/>
  <c r="X194" i="8"/>
  <c r="M194" i="8" s="1"/>
  <c r="W194" i="8"/>
  <c r="L194" i="8" s="1"/>
  <c r="V194" i="8"/>
  <c r="K194" i="8" s="1"/>
  <c r="J188" i="8"/>
  <c r="K188" i="8"/>
  <c r="S174" i="8"/>
  <c r="R174" i="8"/>
  <c r="G174" i="8" s="1"/>
  <c r="X174" i="8"/>
  <c r="M174" i="8" s="1"/>
  <c r="W174" i="8"/>
  <c r="L174" i="8" s="1"/>
  <c r="V174" i="8"/>
  <c r="K174" i="8" s="1"/>
  <c r="T174" i="8"/>
  <c r="I174" i="8" s="1"/>
  <c r="X162" i="8"/>
  <c r="R162" i="8"/>
  <c r="G162" i="8" s="1"/>
  <c r="T162" i="8"/>
  <c r="I162" i="8" s="1"/>
  <c r="S162" i="8"/>
  <c r="H162" i="8" s="1"/>
  <c r="V162" i="8"/>
  <c r="K162" i="8" s="1"/>
  <c r="W162" i="8"/>
  <c r="L162" i="8" s="1"/>
  <c r="X131" i="8"/>
  <c r="M131" i="8" s="1"/>
  <c r="T131" i="8"/>
  <c r="I131" i="8" s="1"/>
  <c r="R131" i="8"/>
  <c r="G131" i="8" s="1"/>
  <c r="W131" i="8"/>
  <c r="L131" i="8" s="1"/>
  <c r="V131" i="8"/>
  <c r="K131" i="8" s="1"/>
  <c r="S131" i="8"/>
  <c r="H131" i="8" s="1"/>
  <c r="H127" i="8"/>
  <c r="G127" i="8"/>
  <c r="M127" i="8"/>
  <c r="L127" i="8"/>
  <c r="K127" i="8"/>
  <c r="I127" i="8"/>
  <c r="J127" i="8"/>
  <c r="G125" i="8"/>
  <c r="M125" i="8"/>
  <c r="H125" i="8"/>
  <c r="L125" i="8"/>
  <c r="I125" i="8"/>
  <c r="K125" i="8"/>
  <c r="J125" i="8"/>
  <c r="G130" i="8"/>
  <c r="K130" i="8"/>
  <c r="L130" i="8"/>
  <c r="J130" i="8"/>
  <c r="I130" i="8"/>
  <c r="M130" i="8"/>
  <c r="H130" i="8"/>
  <c r="J140" i="8"/>
  <c r="G140" i="8"/>
  <c r="L229" i="8"/>
  <c r="K229" i="8"/>
  <c r="J229" i="8"/>
  <c r="V176" i="8"/>
  <c r="K176" i="8" s="1"/>
  <c r="T176" i="8"/>
  <c r="I176" i="8" s="1"/>
  <c r="R176" i="8"/>
  <c r="G176" i="8" s="1"/>
  <c r="X176" i="8"/>
  <c r="M176" i="8" s="1"/>
  <c r="W176" i="8"/>
  <c r="L176" i="8" s="1"/>
  <c r="S176" i="8"/>
  <c r="H176" i="8" s="1"/>
  <c r="T167" i="8"/>
  <c r="I167" i="8" s="1"/>
  <c r="X167" i="8"/>
  <c r="M167" i="8" s="1"/>
  <c r="W167" i="8"/>
  <c r="L167" i="8" s="1"/>
  <c r="V167" i="8"/>
  <c r="K167" i="8" s="1"/>
  <c r="S167" i="8"/>
  <c r="H167" i="8" s="1"/>
  <c r="R167" i="8"/>
  <c r="G167" i="8" s="1"/>
  <c r="J174" i="8"/>
  <c r="H174" i="8"/>
  <c r="L158" i="8"/>
  <c r="K158" i="8"/>
  <c r="J158" i="8"/>
  <c r="W196" i="8"/>
  <c r="L196" i="8" s="1"/>
  <c r="V196" i="8"/>
  <c r="K196" i="8" s="1"/>
  <c r="T196" i="8"/>
  <c r="I196" i="8" s="1"/>
  <c r="S196" i="8"/>
  <c r="H196" i="8" s="1"/>
  <c r="R196" i="8"/>
  <c r="G196" i="8" s="1"/>
  <c r="X196" i="8"/>
  <c r="M196" i="8" s="1"/>
  <c r="S163" i="8"/>
  <c r="H163" i="8" s="1"/>
  <c r="R163" i="8"/>
  <c r="G163" i="8" s="1"/>
  <c r="X163" i="8"/>
  <c r="M163" i="8" s="1"/>
  <c r="W163" i="8"/>
  <c r="V163" i="8"/>
  <c r="K163" i="8" s="1"/>
  <c r="T163" i="8"/>
  <c r="I163" i="8" s="1"/>
  <c r="J162" i="8"/>
  <c r="M162" i="8"/>
  <c r="G137" i="8"/>
  <c r="M137" i="8"/>
  <c r="J137" i="8"/>
  <c r="L137" i="8"/>
  <c r="H137" i="8"/>
  <c r="K137" i="8"/>
  <c r="I137" i="8"/>
  <c r="J142" i="8"/>
  <c r="G142" i="8"/>
  <c r="L154" i="8" l="1"/>
  <c r="L175" i="8"/>
  <c r="L163" i="8"/>
  <c r="R2" i="1" l="1"/>
  <c r="Q2" i="1"/>
  <c r="K20" i="12" l="1"/>
  <c r="M20" i="12"/>
  <c r="J20" i="12"/>
  <c r="Z115" i="8"/>
  <c r="AB29" i="10" l="1"/>
  <c r="AA25" i="10"/>
  <c r="AA26" i="10"/>
  <c r="AA27" i="10"/>
  <c r="AA24" i="10"/>
  <c r="AB21" i="10"/>
  <c r="AB22" i="10"/>
  <c r="B9" i="7" l="1"/>
  <c r="B9" i="1"/>
  <c r="B27" i="7"/>
  <c r="B27" i="1" l="1"/>
  <c r="B23" i="1"/>
  <c r="Q3" i="1" s="1"/>
  <c r="C34" i="6"/>
  <c r="B15" i="1" l="1"/>
  <c r="R3" i="1" s="1"/>
  <c r="E7" i="1" l="1"/>
  <c r="AA5" i="1"/>
  <c r="B19" i="1"/>
  <c r="E6"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5" i="1"/>
  <c r="E5"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6" i="7"/>
  <c r="M6" i="7" s="1"/>
  <c r="I8" i="17" s="1"/>
  <c r="E7" i="7"/>
  <c r="E8" i="7"/>
  <c r="E9" i="7"/>
  <c r="E10" i="7"/>
  <c r="E11" i="7"/>
  <c r="E12" i="7"/>
  <c r="E13" i="7"/>
  <c r="E14" i="7"/>
  <c r="E15" i="7"/>
  <c r="E16" i="7"/>
  <c r="E17" i="7"/>
  <c r="E18" i="7"/>
  <c r="E19" i="7"/>
  <c r="E20" i="7"/>
  <c r="E21" i="7"/>
  <c r="E22" i="7"/>
  <c r="E23" i="7"/>
  <c r="E24" i="7"/>
  <c r="E25" i="7"/>
  <c r="E26" i="7"/>
  <c r="E27" i="7"/>
  <c r="E28" i="7"/>
  <c r="E29" i="7"/>
  <c r="B8" i="4"/>
  <c r="B7" i="4"/>
  <c r="B4" i="4"/>
  <c r="B11" i="4" s="1"/>
  <c r="AB25" i="10" s="1"/>
  <c r="B5" i="4"/>
  <c r="B6" i="4"/>
  <c r="B3" i="4"/>
  <c r="A220" i="10"/>
  <c r="A221" i="10"/>
  <c r="A222" i="10"/>
  <c r="A223" i="10"/>
  <c r="A224" i="10"/>
  <c r="A225" i="10"/>
  <c r="A226" i="10"/>
  <c r="A227" i="10"/>
  <c r="A228" i="10"/>
  <c r="A120" i="10"/>
  <c r="A121" i="10"/>
  <c r="A122" i="10"/>
  <c r="A123" i="10"/>
  <c r="A124" i="10"/>
  <c r="A125" i="10"/>
  <c r="A126" i="10"/>
  <c r="A127" i="10"/>
  <c r="A128" i="10"/>
  <c r="A129" i="10"/>
  <c r="A130" i="10"/>
  <c r="A131" i="10"/>
  <c r="A132" i="10"/>
  <c r="A133" i="10"/>
  <c r="A134" i="10"/>
  <c r="A135" i="10"/>
  <c r="A136" i="10"/>
  <c r="A137" i="10"/>
  <c r="A138" i="10"/>
  <c r="A139" i="10"/>
  <c r="A140" i="10"/>
  <c r="A141" i="10"/>
  <c r="A142" i="10"/>
  <c r="A143" i="10"/>
  <c r="A144" i="10"/>
  <c r="A145" i="10"/>
  <c r="A146" i="10"/>
  <c r="A147" i="10"/>
  <c r="A148" i="10"/>
  <c r="A149" i="10"/>
  <c r="A150" i="10"/>
  <c r="A151" i="10"/>
  <c r="A152" i="10"/>
  <c r="A153" i="10"/>
  <c r="A154" i="10"/>
  <c r="A155" i="10"/>
  <c r="A156" i="10"/>
  <c r="A157" i="10"/>
  <c r="A158" i="10"/>
  <c r="A159" i="10"/>
  <c r="A160" i="10"/>
  <c r="A161" i="10"/>
  <c r="A162" i="10"/>
  <c r="A163" i="10"/>
  <c r="A164" i="10"/>
  <c r="A165" i="10"/>
  <c r="A166" i="10"/>
  <c r="A167" i="10"/>
  <c r="A168" i="10"/>
  <c r="A169" i="10"/>
  <c r="A170" i="10"/>
  <c r="A171" i="10"/>
  <c r="A172" i="10"/>
  <c r="A173" i="10"/>
  <c r="A174" i="10"/>
  <c r="A175" i="10"/>
  <c r="A176" i="10"/>
  <c r="A177" i="10"/>
  <c r="A178" i="10"/>
  <c r="A179" i="10"/>
  <c r="A180" i="10"/>
  <c r="A181" i="10"/>
  <c r="A182" i="10"/>
  <c r="A183" i="10"/>
  <c r="A184" i="10"/>
  <c r="A185" i="10"/>
  <c r="A186" i="10"/>
  <c r="A187" i="10"/>
  <c r="A188" i="10"/>
  <c r="A189" i="10"/>
  <c r="A190" i="10"/>
  <c r="A191" i="10"/>
  <c r="A192" i="10"/>
  <c r="A193" i="10"/>
  <c r="A194" i="10"/>
  <c r="A195" i="10"/>
  <c r="A196" i="10"/>
  <c r="A197" i="10"/>
  <c r="A198" i="10"/>
  <c r="A199" i="10"/>
  <c r="A200" i="10"/>
  <c r="A201" i="10"/>
  <c r="A202" i="10"/>
  <c r="A203" i="10"/>
  <c r="A204" i="10"/>
  <c r="A205" i="10"/>
  <c r="A206" i="10"/>
  <c r="A207" i="10"/>
  <c r="A208" i="10"/>
  <c r="A209" i="10"/>
  <c r="A210" i="10"/>
  <c r="A211" i="10"/>
  <c r="A212" i="10"/>
  <c r="A213" i="10"/>
  <c r="A214" i="10"/>
  <c r="A215" i="10"/>
  <c r="A216" i="10"/>
  <c r="A217" i="10"/>
  <c r="A218" i="10"/>
  <c r="A219" i="10"/>
  <c r="A119" i="10"/>
  <c r="B10" i="4" l="1"/>
  <c r="AB24" i="10" s="1"/>
  <c r="B13" i="4"/>
  <c r="AB27" i="10" s="1"/>
  <c r="M10" i="7"/>
  <c r="I12" i="17" s="1"/>
  <c r="B5" i="1"/>
  <c r="A118" i="10"/>
  <c r="D115" i="10"/>
  <c r="J115" i="10" s="1"/>
  <c r="A115" i="10"/>
  <c r="A115" i="8"/>
  <c r="AF2" i="8"/>
  <c r="AB2" i="8"/>
  <c r="AA1" i="8"/>
  <c r="M114" i="7"/>
  <c r="M110" i="7"/>
  <c r="M109" i="7"/>
  <c r="A104" i="10"/>
  <c r="M106" i="7"/>
  <c r="A101" i="8"/>
  <c r="M100" i="7"/>
  <c r="M98" i="7"/>
  <c r="M97" i="7"/>
  <c r="M96" i="7"/>
  <c r="M94" i="7"/>
  <c r="I96" i="17" s="1"/>
  <c r="M93" i="7"/>
  <c r="I95" i="17" s="1"/>
  <c r="M92" i="7"/>
  <c r="I94" i="17" s="1"/>
  <c r="M90" i="7"/>
  <c r="I92" i="17" s="1"/>
  <c r="M89" i="7"/>
  <c r="I91" i="17" s="1"/>
  <c r="M88" i="7"/>
  <c r="I90" i="17" s="1"/>
  <c r="A85" i="8"/>
  <c r="M85" i="7"/>
  <c r="I87" i="17" s="1"/>
  <c r="M84" i="7"/>
  <c r="I86" i="17" s="1"/>
  <c r="M83" i="7"/>
  <c r="I85" i="17" s="1"/>
  <c r="M82" i="7"/>
  <c r="I84" i="17" s="1"/>
  <c r="M81" i="7"/>
  <c r="I83" i="17" s="1"/>
  <c r="M80" i="7"/>
  <c r="I82" i="17" s="1"/>
  <c r="M79" i="7"/>
  <c r="I81" i="17" s="1"/>
  <c r="M78" i="7"/>
  <c r="I80" i="17" s="1"/>
  <c r="M77" i="7"/>
  <c r="I79" i="17" s="1"/>
  <c r="M76" i="7"/>
  <c r="I78" i="17" s="1"/>
  <c r="M75" i="7"/>
  <c r="I77" i="17" s="1"/>
  <c r="M74" i="7"/>
  <c r="I76" i="17" s="1"/>
  <c r="M73" i="7"/>
  <c r="I75" i="17" s="1"/>
  <c r="M72" i="7"/>
  <c r="I74" i="17" s="1"/>
  <c r="A68" i="10"/>
  <c r="M70" i="7"/>
  <c r="I72" i="17" s="1"/>
  <c r="M69" i="7"/>
  <c r="I71" i="17" s="1"/>
  <c r="M68" i="7"/>
  <c r="I70" i="17" s="1"/>
  <c r="M67" i="7"/>
  <c r="I69" i="17" s="1"/>
  <c r="M66" i="7"/>
  <c r="I68" i="17" s="1"/>
  <c r="M65" i="7"/>
  <c r="I67" i="17" s="1"/>
  <c r="M64" i="7"/>
  <c r="I66" i="17" s="1"/>
  <c r="M63" i="7"/>
  <c r="I65" i="17" s="1"/>
  <c r="M62" i="7"/>
  <c r="I64" i="17" s="1"/>
  <c r="M61" i="7"/>
  <c r="I63" i="17" s="1"/>
  <c r="M59" i="7"/>
  <c r="I61" i="17" s="1"/>
  <c r="M58" i="7"/>
  <c r="I60" i="17" s="1"/>
  <c r="M57" i="7"/>
  <c r="I59" i="17" s="1"/>
  <c r="M54" i="7"/>
  <c r="I56" i="17" s="1"/>
  <c r="M53" i="7"/>
  <c r="I55" i="17" s="1"/>
  <c r="M50" i="7"/>
  <c r="I52" i="17" s="1"/>
  <c r="M49" i="7"/>
  <c r="I51" i="17" s="1"/>
  <c r="M46" i="7"/>
  <c r="I48" i="17" s="1"/>
  <c r="M42" i="7"/>
  <c r="I44" i="17" s="1"/>
  <c r="M39" i="7"/>
  <c r="I41" i="17" s="1"/>
  <c r="M38" i="7"/>
  <c r="I40" i="17" s="1"/>
  <c r="M35" i="7"/>
  <c r="I37" i="17" s="1"/>
  <c r="M30" i="7"/>
  <c r="I32" i="17" s="1"/>
  <c r="M29" i="7"/>
  <c r="I31" i="17" s="1"/>
  <c r="M28" i="7"/>
  <c r="I30" i="17" s="1"/>
  <c r="M26" i="7"/>
  <c r="I28" i="17" s="1"/>
  <c r="M24" i="7"/>
  <c r="I26" i="17" s="1"/>
  <c r="M23" i="7"/>
  <c r="I25" i="17" s="1"/>
  <c r="M22" i="7"/>
  <c r="I24" i="17" s="1"/>
  <c r="M21" i="7"/>
  <c r="I23" i="17" s="1"/>
  <c r="A17" i="10"/>
  <c r="M19" i="7"/>
  <c r="I21" i="17" s="1"/>
  <c r="M17" i="7"/>
  <c r="I19" i="17" s="1"/>
  <c r="M15" i="7"/>
  <c r="I17" i="17" s="1"/>
  <c r="M14" i="7"/>
  <c r="I16" i="17" s="1"/>
  <c r="M13" i="7"/>
  <c r="I15" i="17" s="1"/>
  <c r="M11" i="7"/>
  <c r="I13" i="17" s="1"/>
  <c r="M9" i="7"/>
  <c r="I11" i="17" s="1"/>
  <c r="M7" i="7"/>
  <c r="I9" i="17" s="1"/>
  <c r="N6" i="7"/>
  <c r="B5" i="7"/>
  <c r="N97" i="7" l="1"/>
  <c r="I99" i="17"/>
  <c r="N114" i="7"/>
  <c r="I116" i="17"/>
  <c r="N98" i="7"/>
  <c r="I100" i="17"/>
  <c r="N100" i="7"/>
  <c r="I102" i="17"/>
  <c r="N106" i="7"/>
  <c r="I108" i="17"/>
  <c r="N109" i="7"/>
  <c r="I111" i="17"/>
  <c r="N96" i="7"/>
  <c r="I98" i="17"/>
  <c r="N110" i="7"/>
  <c r="I112" i="17"/>
  <c r="N61" i="7"/>
  <c r="N10" i="7"/>
  <c r="N17" i="7"/>
  <c r="N46" i="7"/>
  <c r="N28" i="7"/>
  <c r="N70" i="7"/>
  <c r="N29" i="7"/>
  <c r="N50" i="7"/>
  <c r="N79" i="7"/>
  <c r="N88" i="7"/>
  <c r="N7" i="7"/>
  <c r="N30" i="7"/>
  <c r="N53" i="7"/>
  <c r="N64" i="7"/>
  <c r="N72" i="7"/>
  <c r="N80" i="7"/>
  <c r="N89" i="7"/>
  <c r="N9" i="7"/>
  <c r="N21" i="7"/>
  <c r="N35" i="7"/>
  <c r="N54" i="7"/>
  <c r="N65" i="7"/>
  <c r="N73" i="7"/>
  <c r="N81" i="7"/>
  <c r="N90" i="7"/>
  <c r="N15" i="7"/>
  <c r="N69" i="7"/>
  <c r="N49" i="7"/>
  <c r="N62" i="7"/>
  <c r="N78" i="7"/>
  <c r="N19" i="7"/>
  <c r="N63" i="7"/>
  <c r="N11" i="7"/>
  <c r="N22" i="7"/>
  <c r="N38" i="7"/>
  <c r="N57" i="7"/>
  <c r="N66" i="7"/>
  <c r="N74" i="7"/>
  <c r="N82" i="7"/>
  <c r="N92" i="7"/>
  <c r="N13" i="7"/>
  <c r="N23" i="7"/>
  <c r="N39" i="7"/>
  <c r="N58" i="7"/>
  <c r="N67" i="7"/>
  <c r="N75" i="7"/>
  <c r="N83" i="7"/>
  <c r="N93" i="7"/>
  <c r="N14" i="7"/>
  <c r="N24" i="7"/>
  <c r="N42" i="7"/>
  <c r="N59" i="7"/>
  <c r="N68" i="7"/>
  <c r="N76" i="7"/>
  <c r="N84" i="7"/>
  <c r="N94" i="7"/>
  <c r="N26" i="7"/>
  <c r="N77" i="7"/>
  <c r="N85" i="7"/>
  <c r="N153" i="8"/>
  <c r="C34" i="10" s="1"/>
  <c r="J34" i="10" s="1"/>
  <c r="N147" i="8"/>
  <c r="C28" i="10" s="1"/>
  <c r="J28" i="10" s="1"/>
  <c r="N121" i="8"/>
  <c r="C2" i="10" s="1"/>
  <c r="J2" i="10" s="1"/>
  <c r="N177" i="8"/>
  <c r="C58" i="10" s="1"/>
  <c r="J58" i="10" s="1"/>
  <c r="N206" i="8"/>
  <c r="C87" i="10" s="1"/>
  <c r="J87" i="10" s="1"/>
  <c r="N215" i="8"/>
  <c r="C96" i="10" s="1"/>
  <c r="J96" i="10" s="1"/>
  <c r="N184" i="8"/>
  <c r="C65" i="10" s="1"/>
  <c r="J65" i="10" s="1"/>
  <c r="N224" i="8"/>
  <c r="C105" i="10" s="1"/>
  <c r="J105" i="10" s="1"/>
  <c r="N124" i="8"/>
  <c r="C5" i="10" s="1"/>
  <c r="J5" i="10" s="1"/>
  <c r="N195" i="8"/>
  <c r="C76" i="10" s="1"/>
  <c r="J76" i="10" s="1"/>
  <c r="N136" i="8"/>
  <c r="C17" i="10" s="1"/>
  <c r="J17" i="10" s="1"/>
  <c r="N187" i="8"/>
  <c r="C68" i="10" s="1"/>
  <c r="J68" i="10" s="1"/>
  <c r="N230" i="8"/>
  <c r="C111" i="10" s="1"/>
  <c r="J111" i="10" s="1"/>
  <c r="N190" i="8"/>
  <c r="C71" i="10" s="1"/>
  <c r="J71" i="10" s="1"/>
  <c r="N180" i="8"/>
  <c r="C61" i="10" s="1"/>
  <c r="J61" i="10" s="1"/>
  <c r="N164" i="8"/>
  <c r="C45" i="10" s="1"/>
  <c r="J45" i="10" s="1"/>
  <c r="N226" i="8"/>
  <c r="C107" i="10" s="1"/>
  <c r="J107" i="10" s="1"/>
  <c r="N161" i="8"/>
  <c r="C42" i="10" s="1"/>
  <c r="J42" i="10" s="1"/>
  <c r="N157" i="8"/>
  <c r="C38" i="10" s="1"/>
  <c r="J38" i="10" s="1"/>
  <c r="N149" i="8"/>
  <c r="C30" i="10" s="1"/>
  <c r="J30" i="10" s="1"/>
  <c r="N144" i="8"/>
  <c r="C25" i="10" s="1"/>
  <c r="J25" i="10" s="1"/>
  <c r="N160" i="8"/>
  <c r="C41" i="10" s="1"/>
  <c r="J41" i="10" s="1"/>
  <c r="N205" i="8"/>
  <c r="C86" i="10" s="1"/>
  <c r="J86" i="10" s="1"/>
  <c r="N185" i="8"/>
  <c r="C66" i="10" s="1"/>
  <c r="J66" i="10" s="1"/>
  <c r="N126" i="8"/>
  <c r="C7" i="10" s="1"/>
  <c r="J7" i="10" s="1"/>
  <c r="N151" i="8"/>
  <c r="C32" i="10" s="1"/>
  <c r="J32" i="10" s="1"/>
  <c r="N143" i="8"/>
  <c r="C24" i="10" s="1"/>
  <c r="J24" i="10" s="1"/>
  <c r="N210" i="8"/>
  <c r="C91" i="10" s="1"/>
  <c r="J91" i="10" s="1"/>
  <c r="N155" i="8"/>
  <c r="C36" i="10" s="1"/>
  <c r="J36" i="10" s="1"/>
  <c r="N211" i="8"/>
  <c r="C92" i="10" s="1"/>
  <c r="J92" i="10" s="1"/>
  <c r="N169" i="8"/>
  <c r="C50" i="10" s="1"/>
  <c r="J50" i="10" s="1"/>
  <c r="N132" i="8"/>
  <c r="C13" i="10" s="1"/>
  <c r="J13" i="10" s="1"/>
  <c r="N139" i="8"/>
  <c r="C20" i="10" s="1"/>
  <c r="J20" i="10" s="1"/>
  <c r="N191" i="8"/>
  <c r="C72" i="10" s="1"/>
  <c r="J72" i="10" s="1"/>
  <c r="N189" i="8"/>
  <c r="C70" i="10" s="1"/>
  <c r="J70" i="10" s="1"/>
  <c r="N227" i="8"/>
  <c r="C108" i="10" s="1"/>
  <c r="J108" i="10" s="1"/>
  <c r="N141" i="8"/>
  <c r="C22" i="10" s="1"/>
  <c r="J22" i="10" s="1"/>
  <c r="N208" i="8"/>
  <c r="C89" i="10" s="1"/>
  <c r="J89" i="10" s="1"/>
  <c r="N219" i="8"/>
  <c r="C100" i="10" s="1"/>
  <c r="J100" i="10" s="1"/>
  <c r="N133" i="8"/>
  <c r="C14" i="10" s="1"/>
  <c r="J14" i="10" s="1"/>
  <c r="N159" i="8"/>
  <c r="C40" i="10" s="1"/>
  <c r="J40" i="10" s="1"/>
  <c r="N183" i="8"/>
  <c r="C64" i="10" s="1"/>
  <c r="J64" i="10" s="1"/>
  <c r="N218" i="8"/>
  <c r="C99" i="10" s="1"/>
  <c r="J99" i="10" s="1"/>
  <c r="N181" i="8"/>
  <c r="C62" i="10" s="1"/>
  <c r="J62" i="10" s="1"/>
  <c r="N216" i="8"/>
  <c r="C97" i="10" s="1"/>
  <c r="J97" i="10" s="1"/>
  <c r="N173" i="8"/>
  <c r="C54" i="10" s="1"/>
  <c r="J54" i="10" s="1"/>
  <c r="N203" i="8"/>
  <c r="C84" i="10" s="1"/>
  <c r="J84" i="10" s="1"/>
  <c r="N172" i="8"/>
  <c r="C53" i="10" s="1"/>
  <c r="J53" i="10" s="1"/>
  <c r="N166" i="8"/>
  <c r="C47" i="10" s="1"/>
  <c r="J47" i="10" s="1"/>
  <c r="N193" i="8"/>
  <c r="C74" i="10" s="1"/>
  <c r="J74" i="10" s="1"/>
  <c r="N199" i="8"/>
  <c r="C80" i="10" s="1"/>
  <c r="J80" i="10" s="1"/>
  <c r="N128" i="8"/>
  <c r="C9" i="10" s="1"/>
  <c r="J9" i="10" s="1"/>
  <c r="N137" i="8"/>
  <c r="C18" i="10" s="1"/>
  <c r="J18" i="10" s="1"/>
  <c r="N204" i="8"/>
  <c r="C85" i="10" s="1"/>
  <c r="J85" i="10" s="1"/>
  <c r="N123" i="8"/>
  <c r="C4" i="10" s="1"/>
  <c r="J4" i="10" s="1"/>
  <c r="N217" i="8"/>
  <c r="C98" i="10" s="1"/>
  <c r="J98" i="10" s="1"/>
  <c r="N223" i="8"/>
  <c r="C104" i="10" s="1"/>
  <c r="J104" i="10" s="1"/>
  <c r="N168" i="8"/>
  <c r="C49" i="10" s="1"/>
  <c r="J49" i="10" s="1"/>
  <c r="N198" i="8"/>
  <c r="C79" i="10" s="1"/>
  <c r="J79" i="10" s="1"/>
  <c r="N209" i="8"/>
  <c r="C90" i="10" s="1"/>
  <c r="J90" i="10" s="1"/>
  <c r="N221" i="8"/>
  <c r="C102" i="10" s="1"/>
  <c r="J102" i="10" s="1"/>
  <c r="N129" i="8"/>
  <c r="C10" i="10" s="1"/>
  <c r="J10" i="10" s="1"/>
  <c r="N212" i="8"/>
  <c r="C93" i="10" s="1"/>
  <c r="J93" i="10" s="1"/>
  <c r="N174" i="8"/>
  <c r="C55" i="10" s="1"/>
  <c r="J55" i="10" s="1"/>
  <c r="N122" i="8"/>
  <c r="C3" i="10" s="1"/>
  <c r="J3" i="10" s="1"/>
  <c r="N148" i="8"/>
  <c r="C29" i="10" s="1"/>
  <c r="J29" i="10" s="1"/>
  <c r="N138" i="8"/>
  <c r="C19" i="10" s="1"/>
  <c r="J19" i="10" s="1"/>
  <c r="N196" i="8"/>
  <c r="C77" i="10" s="1"/>
  <c r="J77" i="10" s="1"/>
  <c r="N186" i="8"/>
  <c r="C67" i="10" s="1"/>
  <c r="J67" i="10" s="1"/>
  <c r="N231" i="8"/>
  <c r="C112" i="10" s="1"/>
  <c r="J112" i="10" s="1"/>
  <c r="N182" i="8"/>
  <c r="C63" i="10" s="1"/>
  <c r="J63" i="10" s="1"/>
  <c r="N220" i="8"/>
  <c r="C101" i="10" s="1"/>
  <c r="J101" i="10" s="1"/>
  <c r="N202" i="8"/>
  <c r="C83" i="10" s="1"/>
  <c r="J83" i="10" s="1"/>
  <c r="N170" i="8"/>
  <c r="C51" i="10" s="1"/>
  <c r="J51" i="10" s="1"/>
  <c r="N146" i="8"/>
  <c r="C27" i="10" s="1"/>
  <c r="J27" i="10" s="1"/>
  <c r="N188" i="8"/>
  <c r="C69" i="10" s="1"/>
  <c r="J69" i="10" s="1"/>
  <c r="N179" i="8"/>
  <c r="C60" i="10" s="1"/>
  <c r="J60" i="10" s="1"/>
  <c r="N131" i="8"/>
  <c r="C12" i="10" s="1"/>
  <c r="J12" i="10" s="1"/>
  <c r="N229" i="8"/>
  <c r="C110" i="10" s="1"/>
  <c r="J110" i="10" s="1"/>
  <c r="N154" i="8"/>
  <c r="C35" i="10" s="1"/>
  <c r="J35" i="10" s="1"/>
  <c r="N140" i="8"/>
  <c r="C21" i="10" s="1"/>
  <c r="J21" i="10" s="1"/>
  <c r="N214" i="8"/>
  <c r="C95" i="10" s="1"/>
  <c r="J95" i="10" s="1"/>
  <c r="N228" i="8"/>
  <c r="C109" i="10" s="1"/>
  <c r="J109" i="10" s="1"/>
  <c r="N222" i="8"/>
  <c r="C103" i="10" s="1"/>
  <c r="J103" i="10" s="1"/>
  <c r="N197" i="8"/>
  <c r="C78" i="10" s="1"/>
  <c r="J78" i="10" s="1"/>
  <c r="N176" i="8"/>
  <c r="C57" i="10" s="1"/>
  <c r="J57" i="10" s="1"/>
  <c r="N163" i="8"/>
  <c r="C44" i="10" s="1"/>
  <c r="J44" i="10" s="1"/>
  <c r="N127" i="8"/>
  <c r="C8" i="10" s="1"/>
  <c r="J8" i="10" s="1"/>
  <c r="N192" i="8"/>
  <c r="C73" i="10" s="1"/>
  <c r="J73" i="10" s="1"/>
  <c r="N207" i="8"/>
  <c r="C88" i="10" s="1"/>
  <c r="J88" i="10" s="1"/>
  <c r="N194" i="8"/>
  <c r="C75" i="10" s="1"/>
  <c r="J75" i="10" s="1"/>
  <c r="N213" i="8"/>
  <c r="C94" i="10" s="1"/>
  <c r="J94" i="10" s="1"/>
  <c r="N130" i="8"/>
  <c r="C11" i="10" s="1"/>
  <c r="J11" i="10" s="1"/>
  <c r="N165" i="8"/>
  <c r="C46" i="10" s="1"/>
  <c r="J46" i="10" s="1"/>
  <c r="N171" i="8"/>
  <c r="C52" i="10" s="1"/>
  <c r="J52" i="10" s="1"/>
  <c r="N175" i="8"/>
  <c r="C56" i="10" s="1"/>
  <c r="J56" i="10" s="1"/>
  <c r="N201" i="8"/>
  <c r="C82" i="10" s="1"/>
  <c r="J82" i="10" s="1"/>
  <c r="N142" i="8"/>
  <c r="C23" i="10" s="1"/>
  <c r="J23" i="10" s="1"/>
  <c r="N225" i="8"/>
  <c r="C106" i="10" s="1"/>
  <c r="J106" i="10" s="1"/>
  <c r="N125" i="8"/>
  <c r="C6" i="10" s="1"/>
  <c r="J6" i="10" s="1"/>
  <c r="N145" i="8"/>
  <c r="C26" i="10" s="1"/>
  <c r="J26" i="10" s="1"/>
  <c r="N152" i="8"/>
  <c r="C33" i="10" s="1"/>
  <c r="J33" i="10" s="1"/>
  <c r="N156" i="8"/>
  <c r="C37" i="10" s="1"/>
  <c r="J37" i="10" s="1"/>
  <c r="N162" i="8"/>
  <c r="C43" i="10" s="1"/>
  <c r="J43" i="10" s="1"/>
  <c r="N135" i="8"/>
  <c r="C16" i="10" s="1"/>
  <c r="J16" i="10" s="1"/>
  <c r="N158" i="8"/>
  <c r="C39" i="10" s="1"/>
  <c r="J39" i="10" s="1"/>
  <c r="N150" i="8"/>
  <c r="C31" i="10" s="1"/>
  <c r="J31" i="10" s="1"/>
  <c r="N134" i="8"/>
  <c r="C15" i="10" s="1"/>
  <c r="J15" i="10" s="1"/>
  <c r="N200" i="8"/>
  <c r="C81" i="10" s="1"/>
  <c r="J81" i="10" s="1"/>
  <c r="N167" i="8"/>
  <c r="C48" i="10" s="1"/>
  <c r="J48" i="10" s="1"/>
  <c r="N178" i="8"/>
  <c r="C59" i="10" s="1"/>
  <c r="J59" i="10" s="1"/>
  <c r="B12" i="4"/>
  <c r="AB26" i="10" s="1"/>
  <c r="K115" i="10" s="1"/>
  <c r="B115" i="10"/>
  <c r="N115" i="10" s="1"/>
  <c r="O115" i="10" s="1"/>
  <c r="P115" i="10" s="1"/>
  <c r="M20" i="7"/>
  <c r="I22" i="17" s="1"/>
  <c r="V115" i="10"/>
  <c r="W115" i="10" s="1"/>
  <c r="A5" i="10"/>
  <c r="A6" i="8"/>
  <c r="A22" i="10"/>
  <c r="A23" i="8"/>
  <c r="A4" i="10"/>
  <c r="A5" i="8"/>
  <c r="A8" i="10"/>
  <c r="A9" i="8"/>
  <c r="A12" i="10"/>
  <c r="A13" i="8"/>
  <c r="A38" i="10"/>
  <c r="A39" i="8"/>
  <c r="M41" i="7"/>
  <c r="I43" i="17" s="1"/>
  <c r="A57" i="10"/>
  <c r="A58" i="8"/>
  <c r="M60" i="7"/>
  <c r="I62" i="17" s="1"/>
  <c r="B85" i="8"/>
  <c r="F85" i="8" s="1"/>
  <c r="P85" i="8"/>
  <c r="Q85" i="8" s="1"/>
  <c r="O85" i="8"/>
  <c r="E85" i="8"/>
  <c r="C85" i="8"/>
  <c r="D85" i="8"/>
  <c r="A98" i="10"/>
  <c r="A99" i="8"/>
  <c r="M101" i="7"/>
  <c r="A9" i="10"/>
  <c r="A10" i="8"/>
  <c r="A13" i="10"/>
  <c r="A14" i="8"/>
  <c r="A15" i="10"/>
  <c r="A16" i="8"/>
  <c r="A19" i="10"/>
  <c r="A20" i="8"/>
  <c r="A26" i="10"/>
  <c r="A27" i="8"/>
  <c r="A29" i="10"/>
  <c r="A30" i="8"/>
  <c r="M32" i="7"/>
  <c r="I34" i="17" s="1"/>
  <c r="A32" i="10"/>
  <c r="A33" i="8"/>
  <c r="A35" i="10"/>
  <c r="A36" i="8"/>
  <c r="A39" i="10"/>
  <c r="A40" i="8"/>
  <c r="A40" i="10"/>
  <c r="A41" i="8"/>
  <c r="M43" i="7"/>
  <c r="I45" i="17" s="1"/>
  <c r="A49" i="10"/>
  <c r="A50" i="8"/>
  <c r="M52" i="7"/>
  <c r="I54" i="17" s="1"/>
  <c r="A31" i="10"/>
  <c r="A32" i="8"/>
  <c r="A3" i="10"/>
  <c r="A4" i="8"/>
  <c r="A7" i="10"/>
  <c r="A8" i="8"/>
  <c r="A11" i="10"/>
  <c r="A12" i="8"/>
  <c r="A41" i="10"/>
  <c r="A42" i="8"/>
  <c r="M44" i="7"/>
  <c r="I46" i="17" s="1"/>
  <c r="A45" i="10"/>
  <c r="A46" i="8"/>
  <c r="M48" i="7"/>
  <c r="I50" i="17" s="1"/>
  <c r="A53" i="10"/>
  <c r="A54" i="8"/>
  <c r="M56" i="7"/>
  <c r="I58" i="17" s="1"/>
  <c r="M5" i="7"/>
  <c r="I7" i="17" s="1"/>
  <c r="A14" i="10"/>
  <c r="A15" i="8"/>
  <c r="A16" i="10"/>
  <c r="A17" i="8"/>
  <c r="A23" i="10"/>
  <c r="A24" i="8"/>
  <c r="A33" i="10"/>
  <c r="A34" i="8"/>
  <c r="M36" i="7"/>
  <c r="I38" i="17" s="1"/>
  <c r="A36" i="10"/>
  <c r="A37" i="8"/>
  <c r="A42" i="10"/>
  <c r="A43" i="8"/>
  <c r="M45" i="7"/>
  <c r="I47" i="17" s="1"/>
  <c r="A44" i="10"/>
  <c r="A45" i="8"/>
  <c r="M47" i="7"/>
  <c r="I49" i="17" s="1"/>
  <c r="A52" i="10"/>
  <c r="A53" i="8"/>
  <c r="M55" i="7"/>
  <c r="I57" i="17" s="1"/>
  <c r="A24" i="10"/>
  <c r="A25" i="8"/>
  <c r="A28" i="10"/>
  <c r="A29" i="8"/>
  <c r="A2" i="10"/>
  <c r="A3" i="8"/>
  <c r="A6" i="10"/>
  <c r="A7" i="8"/>
  <c r="A10" i="10"/>
  <c r="A11" i="8"/>
  <c r="A27" i="10"/>
  <c r="A28" i="8"/>
  <c r="M31" i="7"/>
  <c r="I33" i="17" s="1"/>
  <c r="A30" i="10"/>
  <c r="A31" i="8"/>
  <c r="M33" i="7"/>
  <c r="I35" i="17" s="1"/>
  <c r="M34" i="7"/>
  <c r="I36" i="17" s="1"/>
  <c r="A43" i="10"/>
  <c r="A44" i="8"/>
  <c r="A48" i="10"/>
  <c r="A49" i="8"/>
  <c r="M51" i="7"/>
  <c r="I53" i="17" s="1"/>
  <c r="C101" i="8"/>
  <c r="B101" i="8"/>
  <c r="F101" i="8" s="1"/>
  <c r="P101" i="8"/>
  <c r="Q101" i="8" s="1"/>
  <c r="O101" i="8"/>
  <c r="E101" i="8"/>
  <c r="D101" i="8"/>
  <c r="M8" i="7"/>
  <c r="I10" i="17" s="1"/>
  <c r="M12" i="7"/>
  <c r="I14" i="17" s="1"/>
  <c r="M16" i="7"/>
  <c r="I18" i="17" s="1"/>
  <c r="M18" i="7"/>
  <c r="I20" i="17" s="1"/>
  <c r="A18" i="10"/>
  <c r="A19" i="8"/>
  <c r="A20" i="10"/>
  <c r="A21" i="8"/>
  <c r="M25" i="7"/>
  <c r="I27" i="17" s="1"/>
  <c r="M27" i="7"/>
  <c r="I29" i="17" s="1"/>
  <c r="A37" i="10"/>
  <c r="A38" i="8"/>
  <c r="M40" i="7"/>
  <c r="I42" i="17" s="1"/>
  <c r="A34" i="10"/>
  <c r="A35" i="8"/>
  <c r="M37" i="7"/>
  <c r="I39" i="17" s="1"/>
  <c r="A83" i="10"/>
  <c r="A84" i="8"/>
  <c r="M86" i="7"/>
  <c r="I88" i="17" s="1"/>
  <c r="A47" i="10"/>
  <c r="A48" i="8"/>
  <c r="A51" i="10"/>
  <c r="A52" i="8"/>
  <c r="A55" i="10"/>
  <c r="A56" i="8"/>
  <c r="A59" i="10"/>
  <c r="A60" i="8"/>
  <c r="A63" i="10"/>
  <c r="A64" i="8"/>
  <c r="A67" i="10"/>
  <c r="A68" i="8"/>
  <c r="A71" i="10"/>
  <c r="A72" i="8"/>
  <c r="A75" i="10"/>
  <c r="A76" i="8"/>
  <c r="A79" i="10"/>
  <c r="A80" i="8"/>
  <c r="A85" i="10"/>
  <c r="A86" i="8"/>
  <c r="A87" i="10"/>
  <c r="A88" i="8"/>
  <c r="A105" i="10"/>
  <c r="A106" i="8"/>
  <c r="M108" i="7"/>
  <c r="A89" i="10"/>
  <c r="A90" i="8"/>
  <c r="A91" i="10"/>
  <c r="A92" i="8"/>
  <c r="A99" i="10"/>
  <c r="A100" i="8"/>
  <c r="A102" i="10"/>
  <c r="A103" i="8"/>
  <c r="A18" i="8"/>
  <c r="A46" i="10"/>
  <c r="A47" i="8"/>
  <c r="A50" i="10"/>
  <c r="A51" i="8"/>
  <c r="A54" i="10"/>
  <c r="A55" i="8"/>
  <c r="A58" i="10"/>
  <c r="A59" i="8"/>
  <c r="A62" i="10"/>
  <c r="A63" i="8"/>
  <c r="A66" i="10"/>
  <c r="A67" i="8"/>
  <c r="A70" i="10"/>
  <c r="A71" i="8"/>
  <c r="A74" i="10"/>
  <c r="A75" i="8"/>
  <c r="A78" i="10"/>
  <c r="A79" i="8"/>
  <c r="A82" i="10"/>
  <c r="A83" i="8"/>
  <c r="A93" i="10"/>
  <c r="A94" i="8"/>
  <c r="A95" i="10"/>
  <c r="A96" i="8"/>
  <c r="A110" i="10"/>
  <c r="A111" i="8"/>
  <c r="M113" i="7"/>
  <c r="A21" i="10"/>
  <c r="A22" i="8"/>
  <c r="A25" i="10"/>
  <c r="A26" i="8"/>
  <c r="A84" i="10"/>
  <c r="M87" i="7"/>
  <c r="I89" i="17" s="1"/>
  <c r="A97" i="10"/>
  <c r="A98" i="8"/>
  <c r="A100" i="10"/>
  <c r="M103" i="7"/>
  <c r="A103" i="10"/>
  <c r="A104" i="8"/>
  <c r="A106" i="10"/>
  <c r="A107" i="8"/>
  <c r="A109" i="10"/>
  <c r="A110" i="8"/>
  <c r="M112" i="7"/>
  <c r="A61" i="10"/>
  <c r="A62" i="8"/>
  <c r="A65" i="10"/>
  <c r="A66" i="8"/>
  <c r="A69" i="10"/>
  <c r="A70" i="8"/>
  <c r="A73" i="10"/>
  <c r="A74" i="8"/>
  <c r="A77" i="10"/>
  <c r="A78" i="8"/>
  <c r="A81" i="10"/>
  <c r="A82" i="8"/>
  <c r="A86" i="10"/>
  <c r="A87" i="8"/>
  <c r="A88" i="10"/>
  <c r="A89" i="8"/>
  <c r="M91" i="7"/>
  <c r="I93" i="17" s="1"/>
  <c r="A108" i="10"/>
  <c r="A109" i="8"/>
  <c r="M111" i="7"/>
  <c r="M71" i="7"/>
  <c r="I73" i="17" s="1"/>
  <c r="A90" i="10"/>
  <c r="A91" i="8"/>
  <c r="A92" i="10"/>
  <c r="A93" i="8"/>
  <c r="M95" i="7"/>
  <c r="I97" i="17" s="1"/>
  <c r="A105" i="8"/>
  <c r="M107" i="7"/>
  <c r="A69" i="8"/>
  <c r="A56" i="10"/>
  <c r="A57" i="8"/>
  <c r="A60" i="10"/>
  <c r="A61" i="8"/>
  <c r="A64" i="10"/>
  <c r="A65" i="8"/>
  <c r="A72" i="10"/>
  <c r="A73" i="8"/>
  <c r="A76" i="10"/>
  <c r="A77" i="8"/>
  <c r="A80" i="10"/>
  <c r="A81" i="8"/>
  <c r="A94" i="10"/>
  <c r="A95" i="8"/>
  <c r="A96" i="10"/>
  <c r="A97" i="8"/>
  <c r="M99" i="7"/>
  <c r="M102" i="7"/>
  <c r="A101" i="10"/>
  <c r="A102" i="8"/>
  <c r="M104" i="7"/>
  <c r="M105" i="7"/>
  <c r="A112" i="10"/>
  <c r="A113" i="8"/>
  <c r="M115" i="7"/>
  <c r="A107" i="10"/>
  <c r="A108" i="8"/>
  <c r="A111" i="10"/>
  <c r="A112" i="8"/>
  <c r="P115" i="8"/>
  <c r="Q115" i="8" s="1"/>
  <c r="O115" i="8"/>
  <c r="E115" i="8"/>
  <c r="D115" i="8"/>
  <c r="C115" i="8"/>
  <c r="B115" i="8"/>
  <c r="F115" i="8" s="1"/>
  <c r="N107" i="7" l="1"/>
  <c r="I109" i="17"/>
  <c r="N111" i="7"/>
  <c r="I113" i="17"/>
  <c r="N101" i="7"/>
  <c r="I103" i="17"/>
  <c r="N105" i="7"/>
  <c r="I107" i="17"/>
  <c r="N108" i="7"/>
  <c r="I110" i="17"/>
  <c r="N104" i="7"/>
  <c r="I106" i="17"/>
  <c r="N103" i="7"/>
  <c r="I105" i="17"/>
  <c r="N112" i="7"/>
  <c r="I114" i="17"/>
  <c r="N102" i="7"/>
  <c r="I104" i="17"/>
  <c r="N113" i="7"/>
  <c r="I115" i="17"/>
  <c r="N115" i="7"/>
  <c r="I117" i="17"/>
  <c r="N99" i="7"/>
  <c r="I101" i="17"/>
  <c r="N20" i="7"/>
  <c r="N91" i="7"/>
  <c r="N27" i="7"/>
  <c r="N12" i="7"/>
  <c r="N51" i="7"/>
  <c r="N32" i="7"/>
  <c r="N95" i="7"/>
  <c r="N86" i="7"/>
  <c r="N16" i="7"/>
  <c r="N43" i="7"/>
  <c r="N25" i="7"/>
  <c r="N8" i="7"/>
  <c r="N31" i="7"/>
  <c r="N47" i="7"/>
  <c r="N36" i="7"/>
  <c r="N44" i="7"/>
  <c r="N41" i="7"/>
  <c r="N37" i="7"/>
  <c r="N56" i="7"/>
  <c r="N87" i="7"/>
  <c r="N45" i="7"/>
  <c r="N52" i="7"/>
  <c r="N71" i="7"/>
  <c r="N40" i="7"/>
  <c r="N34" i="7"/>
  <c r="N18" i="7"/>
  <c r="N33" i="7"/>
  <c r="N55" i="7"/>
  <c r="N48" i="7"/>
  <c r="N60" i="7"/>
  <c r="N5" i="7"/>
  <c r="L115" i="10"/>
  <c r="G18" i="6" s="1"/>
  <c r="T115" i="10"/>
  <c r="Y115" i="10" s="1"/>
  <c r="E115" i="10"/>
  <c r="F115" i="10" s="1"/>
  <c r="B77" i="8"/>
  <c r="F77" i="8" s="1"/>
  <c r="P77" i="8"/>
  <c r="Q77" i="8" s="1"/>
  <c r="O77" i="8"/>
  <c r="E77" i="8"/>
  <c r="D77" i="8"/>
  <c r="C77" i="8"/>
  <c r="E57" i="8"/>
  <c r="D57" i="8"/>
  <c r="C57" i="8"/>
  <c r="B57" i="8"/>
  <c r="F57" i="8" s="1"/>
  <c r="O57" i="8"/>
  <c r="P57" i="8"/>
  <c r="Q57" i="8" s="1"/>
  <c r="D89" i="8"/>
  <c r="C89" i="8"/>
  <c r="B89" i="8"/>
  <c r="F89" i="8" s="1"/>
  <c r="P89" i="8"/>
  <c r="Q89" i="8" s="1"/>
  <c r="O89" i="8"/>
  <c r="E89" i="8"/>
  <c r="O74" i="8"/>
  <c r="E74" i="8"/>
  <c r="D74" i="8"/>
  <c r="B74" i="8"/>
  <c r="F74" i="8" s="1"/>
  <c r="C74" i="8"/>
  <c r="P74" i="8"/>
  <c r="Q74" i="8" s="1"/>
  <c r="P83" i="8"/>
  <c r="Q83" i="8" s="1"/>
  <c r="E83" i="8"/>
  <c r="C83" i="8"/>
  <c r="D83" i="8"/>
  <c r="O83" i="8"/>
  <c r="B83" i="8"/>
  <c r="F83" i="8" s="1"/>
  <c r="P67" i="8"/>
  <c r="Q67" i="8" s="1"/>
  <c r="E67" i="8"/>
  <c r="C67" i="8"/>
  <c r="D67" i="8"/>
  <c r="O67" i="8"/>
  <c r="B67" i="8"/>
  <c r="F67" i="8" s="1"/>
  <c r="O51" i="8"/>
  <c r="E51" i="8"/>
  <c r="D51" i="8"/>
  <c r="C51" i="8"/>
  <c r="P51" i="8"/>
  <c r="Q51" i="8" s="1"/>
  <c r="B51" i="8"/>
  <c r="F51" i="8" s="1"/>
  <c r="E88" i="8"/>
  <c r="C88" i="8"/>
  <c r="B88" i="8"/>
  <c r="F88" i="8" s="1"/>
  <c r="P88" i="8"/>
  <c r="Q88" i="8" s="1"/>
  <c r="D88" i="8"/>
  <c r="O88" i="8"/>
  <c r="E72" i="8"/>
  <c r="C72" i="8"/>
  <c r="B72" i="8"/>
  <c r="F72" i="8" s="1"/>
  <c r="P72" i="8"/>
  <c r="Q72" i="8" s="1"/>
  <c r="D72" i="8"/>
  <c r="O72" i="8"/>
  <c r="D56" i="8"/>
  <c r="C56" i="8"/>
  <c r="B56" i="8"/>
  <c r="F56" i="8" s="1"/>
  <c r="P56" i="8"/>
  <c r="Q56" i="8" s="1"/>
  <c r="E56" i="8"/>
  <c r="O56" i="8"/>
  <c r="C31" i="8"/>
  <c r="P31" i="8"/>
  <c r="Q31" i="8" s="1"/>
  <c r="O31" i="8"/>
  <c r="E31" i="8"/>
  <c r="B31" i="8"/>
  <c r="F31" i="8" s="1"/>
  <c r="D31" i="8"/>
  <c r="O43" i="8"/>
  <c r="D43" i="8"/>
  <c r="C43" i="8"/>
  <c r="E43" i="8"/>
  <c r="B43" i="8"/>
  <c r="F43" i="8" s="1"/>
  <c r="P43" i="8"/>
  <c r="Q43" i="8" s="1"/>
  <c r="D40" i="8"/>
  <c r="P40" i="8"/>
  <c r="Q40" i="8" s="1"/>
  <c r="O40" i="8"/>
  <c r="C40" i="8"/>
  <c r="B40" i="8"/>
  <c r="F40" i="8" s="1"/>
  <c r="E40" i="8"/>
  <c r="B14" i="8"/>
  <c r="F14" i="8" s="1"/>
  <c r="P14" i="8"/>
  <c r="Q14" i="8" s="1"/>
  <c r="O14" i="8"/>
  <c r="D14" i="8"/>
  <c r="E14" i="8"/>
  <c r="C14" i="8"/>
  <c r="P91" i="8"/>
  <c r="Q91" i="8" s="1"/>
  <c r="E91" i="8"/>
  <c r="D91" i="8"/>
  <c r="C91" i="8"/>
  <c r="B91" i="8"/>
  <c r="F91" i="8" s="1"/>
  <c r="O91" i="8"/>
  <c r="D110" i="8"/>
  <c r="C110" i="8"/>
  <c r="P110" i="8"/>
  <c r="Q110" i="8" s="1"/>
  <c r="O110" i="8"/>
  <c r="E110" i="8"/>
  <c r="B110" i="8"/>
  <c r="F110" i="8" s="1"/>
  <c r="P98" i="8"/>
  <c r="Q98" i="8" s="1"/>
  <c r="O98" i="8"/>
  <c r="E98" i="8"/>
  <c r="D98" i="8"/>
  <c r="C98" i="8"/>
  <c r="B98" i="8"/>
  <c r="F98" i="8" s="1"/>
  <c r="B92" i="8"/>
  <c r="F92" i="8" s="1"/>
  <c r="O92" i="8"/>
  <c r="E92" i="8"/>
  <c r="D92" i="8"/>
  <c r="C92" i="8"/>
  <c r="P92" i="8"/>
  <c r="Q92" i="8" s="1"/>
  <c r="O84" i="8"/>
  <c r="D84" i="8"/>
  <c r="E84" i="8"/>
  <c r="C84" i="8"/>
  <c r="B84" i="8"/>
  <c r="F84" i="8" s="1"/>
  <c r="P84" i="8"/>
  <c r="Q84" i="8" s="1"/>
  <c r="B38" i="8"/>
  <c r="F38" i="8" s="1"/>
  <c r="O38" i="8"/>
  <c r="D38" i="8"/>
  <c r="E38" i="8"/>
  <c r="P38" i="8"/>
  <c r="Q38" i="8" s="1"/>
  <c r="C38" i="8"/>
  <c r="E17" i="8"/>
  <c r="D17" i="8"/>
  <c r="C17" i="8"/>
  <c r="B17" i="8"/>
  <c r="F17" i="8" s="1"/>
  <c r="O17" i="8"/>
  <c r="P17" i="8"/>
  <c r="Q17" i="8" s="1"/>
  <c r="D8" i="8"/>
  <c r="C8" i="8"/>
  <c r="B8" i="8"/>
  <c r="F8" i="8" s="1"/>
  <c r="P8" i="8"/>
  <c r="Q8" i="8" s="1"/>
  <c r="O8" i="8"/>
  <c r="E8" i="8"/>
  <c r="O27" i="8"/>
  <c r="D27" i="8"/>
  <c r="C27" i="8"/>
  <c r="E27" i="8"/>
  <c r="B27" i="8"/>
  <c r="F27" i="8" s="1"/>
  <c r="P27" i="8"/>
  <c r="Q27" i="8" s="1"/>
  <c r="D16" i="8"/>
  <c r="C16" i="8"/>
  <c r="B16" i="8"/>
  <c r="F16" i="8" s="1"/>
  <c r="P16" i="8"/>
  <c r="Q16" i="8" s="1"/>
  <c r="E16" i="8"/>
  <c r="O16" i="8"/>
  <c r="E9" i="8"/>
  <c r="D9" i="8"/>
  <c r="C9" i="8"/>
  <c r="B9" i="8"/>
  <c r="F9" i="8" s="1"/>
  <c r="O9" i="8"/>
  <c r="P9" i="8"/>
  <c r="Q9" i="8" s="1"/>
  <c r="B6" i="8"/>
  <c r="F6" i="8" s="1"/>
  <c r="P6" i="8"/>
  <c r="Q6" i="8" s="1"/>
  <c r="O6" i="8"/>
  <c r="D6" i="8"/>
  <c r="E6" i="8"/>
  <c r="C6" i="8"/>
  <c r="E112" i="8"/>
  <c r="C112" i="8"/>
  <c r="B112" i="8"/>
  <c r="F112" i="8" s="1"/>
  <c r="P112" i="8"/>
  <c r="Q112" i="8" s="1"/>
  <c r="O112" i="8"/>
  <c r="D112" i="8"/>
  <c r="J115" i="8"/>
  <c r="Z116" i="8" s="1"/>
  <c r="O113" i="8"/>
  <c r="D113" i="8"/>
  <c r="C113" i="8"/>
  <c r="B113" i="8"/>
  <c r="F113" i="8" s="1"/>
  <c r="E113" i="8"/>
  <c r="P113" i="8"/>
  <c r="Q113" i="8" s="1"/>
  <c r="O97" i="8"/>
  <c r="D97" i="8"/>
  <c r="C97" i="8"/>
  <c r="B97" i="8"/>
  <c r="F97" i="8" s="1"/>
  <c r="P97" i="8"/>
  <c r="Q97" i="8" s="1"/>
  <c r="E97" i="8"/>
  <c r="D73" i="8"/>
  <c r="C73" i="8"/>
  <c r="B73" i="8"/>
  <c r="F73" i="8" s="1"/>
  <c r="P73" i="8"/>
  <c r="Q73" i="8" s="1"/>
  <c r="O73" i="8"/>
  <c r="E73" i="8"/>
  <c r="B69" i="8"/>
  <c r="F69" i="8" s="1"/>
  <c r="P69" i="8"/>
  <c r="Q69" i="8" s="1"/>
  <c r="O69" i="8"/>
  <c r="E69" i="8"/>
  <c r="C69" i="8"/>
  <c r="D69" i="8"/>
  <c r="D87" i="8"/>
  <c r="B87" i="8"/>
  <c r="F87" i="8" s="1"/>
  <c r="O87" i="8"/>
  <c r="P87" i="8"/>
  <c r="Q87" i="8" s="1"/>
  <c r="E87" i="8"/>
  <c r="C87" i="8"/>
  <c r="C70" i="8"/>
  <c r="P70" i="8"/>
  <c r="Q70" i="8" s="1"/>
  <c r="E70" i="8"/>
  <c r="D70" i="8"/>
  <c r="B70" i="8"/>
  <c r="F70" i="8" s="1"/>
  <c r="O70" i="8"/>
  <c r="E111" i="8"/>
  <c r="D111" i="8"/>
  <c r="B111" i="8"/>
  <c r="F111" i="8" s="1"/>
  <c r="P111" i="8"/>
  <c r="Q111" i="8" s="1"/>
  <c r="O111" i="8"/>
  <c r="C111" i="8"/>
  <c r="D79" i="8"/>
  <c r="B79" i="8"/>
  <c r="F79" i="8" s="1"/>
  <c r="O79" i="8"/>
  <c r="E79" i="8"/>
  <c r="C79" i="8"/>
  <c r="P79" i="8"/>
  <c r="Q79" i="8" s="1"/>
  <c r="C63" i="8"/>
  <c r="B63" i="8"/>
  <c r="F63" i="8" s="1"/>
  <c r="P63" i="8"/>
  <c r="Q63" i="8" s="1"/>
  <c r="O63" i="8"/>
  <c r="E63" i="8"/>
  <c r="D63" i="8"/>
  <c r="C47" i="8"/>
  <c r="P47" i="8"/>
  <c r="Q47" i="8" s="1"/>
  <c r="O47" i="8"/>
  <c r="E47" i="8"/>
  <c r="D47" i="8"/>
  <c r="B47" i="8"/>
  <c r="F47" i="8" s="1"/>
  <c r="C86" i="8"/>
  <c r="P86" i="8"/>
  <c r="Q86" i="8" s="1"/>
  <c r="E86" i="8"/>
  <c r="D86" i="8"/>
  <c r="B86" i="8"/>
  <c r="F86" i="8" s="1"/>
  <c r="O86" i="8"/>
  <c r="O68" i="8"/>
  <c r="D68" i="8"/>
  <c r="E68" i="8"/>
  <c r="C68" i="8"/>
  <c r="B68" i="8"/>
  <c r="F68" i="8" s="1"/>
  <c r="P68" i="8"/>
  <c r="Q68" i="8" s="1"/>
  <c r="P52" i="8"/>
  <c r="Q52" i="8" s="1"/>
  <c r="O52" i="8"/>
  <c r="E52" i="8"/>
  <c r="D52" i="8"/>
  <c r="B52" i="8"/>
  <c r="F52" i="8" s="1"/>
  <c r="C52" i="8"/>
  <c r="E49" i="8"/>
  <c r="D49" i="8"/>
  <c r="C49" i="8"/>
  <c r="B49" i="8"/>
  <c r="F49" i="8" s="1"/>
  <c r="O49" i="8"/>
  <c r="P49" i="8"/>
  <c r="Q49" i="8" s="1"/>
  <c r="P53" i="8"/>
  <c r="Q53" i="8" s="1"/>
  <c r="O53" i="8"/>
  <c r="E53" i="8"/>
  <c r="C53" i="8"/>
  <c r="D53" i="8"/>
  <c r="B53" i="8"/>
  <c r="F53" i="8" s="1"/>
  <c r="E37" i="8"/>
  <c r="C37" i="8"/>
  <c r="D37" i="8"/>
  <c r="B37" i="8"/>
  <c r="F37" i="8" s="1"/>
  <c r="P37" i="8"/>
  <c r="Q37" i="8" s="1"/>
  <c r="O37" i="8"/>
  <c r="C42" i="8"/>
  <c r="B42" i="8"/>
  <c r="F42" i="8" s="1"/>
  <c r="P42" i="8"/>
  <c r="Q42" i="8" s="1"/>
  <c r="O42" i="8"/>
  <c r="E42" i="8"/>
  <c r="D42" i="8"/>
  <c r="P36" i="8"/>
  <c r="Q36" i="8" s="1"/>
  <c r="E36" i="8"/>
  <c r="D36" i="8"/>
  <c r="B36" i="8"/>
  <c r="F36" i="8" s="1"/>
  <c r="C36" i="8"/>
  <c r="O36" i="8"/>
  <c r="E10" i="8"/>
  <c r="D10" i="8"/>
  <c r="C10" i="8"/>
  <c r="B10" i="8"/>
  <c r="F10" i="8" s="1"/>
  <c r="P10" i="8"/>
  <c r="Q10" i="8" s="1"/>
  <c r="O10" i="8"/>
  <c r="C39" i="8"/>
  <c r="P39" i="8"/>
  <c r="Q39" i="8" s="1"/>
  <c r="O39" i="8"/>
  <c r="E39" i="8"/>
  <c r="D39" i="8"/>
  <c r="B39" i="8"/>
  <c r="F39" i="8" s="1"/>
  <c r="B108" i="8"/>
  <c r="F108" i="8" s="1"/>
  <c r="O108" i="8"/>
  <c r="E108" i="8"/>
  <c r="D108" i="8"/>
  <c r="P108" i="8"/>
  <c r="Q108" i="8" s="1"/>
  <c r="C108" i="8"/>
  <c r="P107" i="8"/>
  <c r="Q107" i="8" s="1"/>
  <c r="E107" i="8"/>
  <c r="D107" i="8"/>
  <c r="C107" i="8"/>
  <c r="O107" i="8"/>
  <c r="B107" i="8"/>
  <c r="F107" i="8" s="1"/>
  <c r="O90" i="8"/>
  <c r="E90" i="8"/>
  <c r="D90" i="8"/>
  <c r="B90" i="8"/>
  <c r="F90" i="8" s="1"/>
  <c r="C90" i="8"/>
  <c r="P90" i="8"/>
  <c r="Q90" i="8" s="1"/>
  <c r="P28" i="8"/>
  <c r="Q28" i="8" s="1"/>
  <c r="E28" i="8"/>
  <c r="D28" i="8"/>
  <c r="B28" i="8"/>
  <c r="F28" i="8" s="1"/>
  <c r="C28" i="8"/>
  <c r="O28" i="8"/>
  <c r="O11" i="8"/>
  <c r="E11" i="8"/>
  <c r="D11" i="8"/>
  <c r="C11" i="8"/>
  <c r="P11" i="8"/>
  <c r="Q11" i="8" s="1"/>
  <c r="B11" i="8"/>
  <c r="F11" i="8" s="1"/>
  <c r="E29" i="8"/>
  <c r="C29" i="8"/>
  <c r="D29" i="8"/>
  <c r="P29" i="8"/>
  <c r="Q29" i="8" s="1"/>
  <c r="O29" i="8"/>
  <c r="B29" i="8"/>
  <c r="F29" i="8" s="1"/>
  <c r="C15" i="8"/>
  <c r="B15" i="8"/>
  <c r="F15" i="8" s="1"/>
  <c r="P15" i="8"/>
  <c r="Q15" i="8" s="1"/>
  <c r="O15" i="8"/>
  <c r="E15" i="8"/>
  <c r="D15" i="8"/>
  <c r="E50" i="8"/>
  <c r="D50" i="8"/>
  <c r="C50" i="8"/>
  <c r="B50" i="8"/>
  <c r="F50" i="8" s="1"/>
  <c r="P50" i="8"/>
  <c r="Q50" i="8" s="1"/>
  <c r="O50" i="8"/>
  <c r="P20" i="8"/>
  <c r="Q20" i="8" s="1"/>
  <c r="O20" i="8"/>
  <c r="E20" i="8"/>
  <c r="D20" i="8"/>
  <c r="B20" i="8"/>
  <c r="F20" i="8" s="1"/>
  <c r="C20" i="8"/>
  <c r="E95" i="8"/>
  <c r="D95" i="8"/>
  <c r="B95" i="8"/>
  <c r="F95" i="8" s="1"/>
  <c r="P95" i="8"/>
  <c r="Q95" i="8" s="1"/>
  <c r="O95" i="8"/>
  <c r="C95" i="8"/>
  <c r="D65" i="8"/>
  <c r="C65" i="8"/>
  <c r="E65" i="8"/>
  <c r="B65" i="8"/>
  <c r="F65" i="8" s="1"/>
  <c r="O65" i="8"/>
  <c r="P65" i="8"/>
  <c r="Q65" i="8" s="1"/>
  <c r="O105" i="8"/>
  <c r="D105" i="8"/>
  <c r="C105" i="8"/>
  <c r="B105" i="8"/>
  <c r="F105" i="8" s="1"/>
  <c r="P105" i="8"/>
  <c r="Q105" i="8" s="1"/>
  <c r="E105" i="8"/>
  <c r="O82" i="8"/>
  <c r="E82" i="8"/>
  <c r="D82" i="8"/>
  <c r="B82" i="8"/>
  <c r="F82" i="8" s="1"/>
  <c r="C82" i="8"/>
  <c r="P82" i="8"/>
  <c r="Q82" i="8" s="1"/>
  <c r="O66" i="8"/>
  <c r="E66" i="8"/>
  <c r="D66" i="8"/>
  <c r="B66" i="8"/>
  <c r="F66" i="8" s="1"/>
  <c r="C66" i="8"/>
  <c r="P66" i="8"/>
  <c r="Q66" i="8" s="1"/>
  <c r="E96" i="8"/>
  <c r="C96" i="8"/>
  <c r="B96" i="8"/>
  <c r="F96" i="8" s="1"/>
  <c r="P96" i="8"/>
  <c r="Q96" i="8" s="1"/>
  <c r="O96" i="8"/>
  <c r="D96" i="8"/>
  <c r="P75" i="8"/>
  <c r="Q75" i="8" s="1"/>
  <c r="E75" i="8"/>
  <c r="C75" i="8"/>
  <c r="D75" i="8"/>
  <c r="B75" i="8"/>
  <c r="F75" i="8" s="1"/>
  <c r="O75" i="8"/>
  <c r="O59" i="8"/>
  <c r="E59" i="8"/>
  <c r="D59" i="8"/>
  <c r="C59" i="8"/>
  <c r="B59" i="8"/>
  <c r="F59" i="8" s="1"/>
  <c r="P59" i="8"/>
  <c r="Q59" i="8" s="1"/>
  <c r="E18" i="8"/>
  <c r="D18" i="8"/>
  <c r="C18" i="8"/>
  <c r="B18" i="8"/>
  <c r="F18" i="8" s="1"/>
  <c r="P18" i="8"/>
  <c r="Q18" i="8" s="1"/>
  <c r="O18" i="8"/>
  <c r="E80" i="8"/>
  <c r="C80" i="8"/>
  <c r="B80" i="8"/>
  <c r="F80" i="8" s="1"/>
  <c r="P80" i="8"/>
  <c r="Q80" i="8" s="1"/>
  <c r="O80" i="8"/>
  <c r="D80" i="8"/>
  <c r="C64" i="8"/>
  <c r="B64" i="8"/>
  <c r="F64" i="8" s="1"/>
  <c r="P64" i="8"/>
  <c r="Q64" i="8" s="1"/>
  <c r="E64" i="8"/>
  <c r="O64" i="8"/>
  <c r="D64" i="8"/>
  <c r="D48" i="8"/>
  <c r="C48" i="8"/>
  <c r="B48" i="8"/>
  <c r="F48" i="8" s="1"/>
  <c r="P48" i="8"/>
  <c r="Q48" i="8" s="1"/>
  <c r="O48" i="8"/>
  <c r="E48" i="8"/>
  <c r="O35" i="8"/>
  <c r="D35" i="8"/>
  <c r="C35" i="8"/>
  <c r="B35" i="8"/>
  <c r="F35" i="8" s="1"/>
  <c r="P35" i="8"/>
  <c r="Q35" i="8" s="1"/>
  <c r="E35" i="8"/>
  <c r="P44" i="8"/>
  <c r="Q44" i="8" s="1"/>
  <c r="E44" i="8"/>
  <c r="D44" i="8"/>
  <c r="B44" i="8"/>
  <c r="F44" i="8" s="1"/>
  <c r="C44" i="8"/>
  <c r="O44" i="8"/>
  <c r="P4" i="8"/>
  <c r="Q4" i="8" s="1"/>
  <c r="O4" i="8"/>
  <c r="E4" i="8"/>
  <c r="D4" i="8"/>
  <c r="B4" i="8"/>
  <c r="F4" i="8" s="1"/>
  <c r="C4" i="8"/>
  <c r="E33" i="8"/>
  <c r="B33" i="8"/>
  <c r="F33" i="8" s="1"/>
  <c r="O33" i="8"/>
  <c r="P33" i="8"/>
  <c r="Q33" i="8" s="1"/>
  <c r="D33" i="8"/>
  <c r="C33" i="8"/>
  <c r="R85" i="8"/>
  <c r="G85" i="8" s="1"/>
  <c r="X85" i="8"/>
  <c r="M85" i="8" s="1"/>
  <c r="V85" i="8"/>
  <c r="K85" i="8" s="1"/>
  <c r="W85" i="8"/>
  <c r="L85" i="8" s="1"/>
  <c r="S85" i="8"/>
  <c r="H85" i="8" s="1"/>
  <c r="T85" i="8"/>
  <c r="I85" i="8" s="1"/>
  <c r="P5" i="8"/>
  <c r="Q5" i="8" s="1"/>
  <c r="O5" i="8"/>
  <c r="E5" i="8"/>
  <c r="C5" i="8"/>
  <c r="B5" i="8"/>
  <c r="F5" i="8" s="1"/>
  <c r="D5" i="8"/>
  <c r="C109" i="8"/>
  <c r="B109" i="8"/>
  <c r="F109" i="8" s="1"/>
  <c r="P109" i="8"/>
  <c r="Q109" i="8" s="1"/>
  <c r="O109" i="8"/>
  <c r="E109" i="8"/>
  <c r="D109" i="8"/>
  <c r="E104" i="8"/>
  <c r="C104" i="8"/>
  <c r="B104" i="8"/>
  <c r="F104" i="8" s="1"/>
  <c r="P104" i="8"/>
  <c r="Q104" i="8" s="1"/>
  <c r="O104" i="8"/>
  <c r="D104" i="8"/>
  <c r="C26" i="8"/>
  <c r="B26" i="8"/>
  <c r="F26" i="8" s="1"/>
  <c r="P26" i="8"/>
  <c r="Q26" i="8" s="1"/>
  <c r="O26" i="8"/>
  <c r="E26" i="8"/>
  <c r="D26" i="8"/>
  <c r="E103" i="8"/>
  <c r="D103" i="8"/>
  <c r="B103" i="8"/>
  <c r="F103" i="8" s="1"/>
  <c r="P103" i="8"/>
  <c r="Q103" i="8" s="1"/>
  <c r="O103" i="8"/>
  <c r="C103" i="8"/>
  <c r="P21" i="8"/>
  <c r="Q21" i="8" s="1"/>
  <c r="O21" i="8"/>
  <c r="E21" i="8"/>
  <c r="C21" i="8"/>
  <c r="D21" i="8"/>
  <c r="B21" i="8"/>
  <c r="F21" i="8" s="1"/>
  <c r="O3" i="8"/>
  <c r="E3" i="8"/>
  <c r="D3" i="8"/>
  <c r="C3" i="8"/>
  <c r="P3" i="8"/>
  <c r="Q3" i="8" s="1"/>
  <c r="B3" i="8"/>
  <c r="F3" i="8" s="1"/>
  <c r="E25" i="8"/>
  <c r="D25" i="8"/>
  <c r="C25" i="8"/>
  <c r="B25" i="8"/>
  <c r="F25" i="8" s="1"/>
  <c r="O25" i="8"/>
  <c r="P25" i="8"/>
  <c r="Q25" i="8" s="1"/>
  <c r="O45" i="8"/>
  <c r="E45" i="8"/>
  <c r="C45" i="8"/>
  <c r="B45" i="8"/>
  <c r="F45" i="8" s="1"/>
  <c r="P45" i="8"/>
  <c r="Q45" i="8" s="1"/>
  <c r="D45" i="8"/>
  <c r="C34" i="8"/>
  <c r="B34" i="8"/>
  <c r="F34" i="8" s="1"/>
  <c r="P34" i="8"/>
  <c r="Q34" i="8" s="1"/>
  <c r="E34" i="8"/>
  <c r="D34" i="8"/>
  <c r="O34" i="8"/>
  <c r="B54" i="8"/>
  <c r="F54" i="8" s="1"/>
  <c r="P54" i="8"/>
  <c r="Q54" i="8" s="1"/>
  <c r="O54" i="8"/>
  <c r="D54" i="8"/>
  <c r="E54" i="8"/>
  <c r="C54" i="8"/>
  <c r="D32" i="8"/>
  <c r="P32" i="8"/>
  <c r="Q32" i="8" s="1"/>
  <c r="E32" i="8"/>
  <c r="C32" i="8"/>
  <c r="B32" i="8"/>
  <c r="F32" i="8" s="1"/>
  <c r="O32" i="8"/>
  <c r="J85" i="8"/>
  <c r="D102" i="8"/>
  <c r="C102" i="8"/>
  <c r="P102" i="8"/>
  <c r="Q102" i="8" s="1"/>
  <c r="O102" i="8"/>
  <c r="E102" i="8"/>
  <c r="B102" i="8"/>
  <c r="F102" i="8" s="1"/>
  <c r="D81" i="8"/>
  <c r="C81" i="8"/>
  <c r="E81" i="8"/>
  <c r="B81" i="8"/>
  <c r="F81" i="8" s="1"/>
  <c r="O81" i="8"/>
  <c r="P81" i="8"/>
  <c r="Q81" i="8" s="1"/>
  <c r="P61" i="8"/>
  <c r="Q61" i="8" s="1"/>
  <c r="O61" i="8"/>
  <c r="E61" i="8"/>
  <c r="C61" i="8"/>
  <c r="D61" i="8"/>
  <c r="B61" i="8"/>
  <c r="F61" i="8" s="1"/>
  <c r="C78" i="8"/>
  <c r="P78" i="8"/>
  <c r="Q78" i="8" s="1"/>
  <c r="O78" i="8"/>
  <c r="D78" i="8"/>
  <c r="E78" i="8"/>
  <c r="B78" i="8"/>
  <c r="F78" i="8" s="1"/>
  <c r="B62" i="8"/>
  <c r="F62" i="8" s="1"/>
  <c r="P62" i="8"/>
  <c r="Q62" i="8" s="1"/>
  <c r="O62" i="8"/>
  <c r="D62" i="8"/>
  <c r="E62" i="8"/>
  <c r="C62" i="8"/>
  <c r="D94" i="8"/>
  <c r="C94" i="8"/>
  <c r="P94" i="8"/>
  <c r="Q94" i="8" s="1"/>
  <c r="O94" i="8"/>
  <c r="E94" i="8"/>
  <c r="B94" i="8"/>
  <c r="F94" i="8" s="1"/>
  <c r="D71" i="8"/>
  <c r="B71" i="8"/>
  <c r="F71" i="8" s="1"/>
  <c r="O71" i="8"/>
  <c r="P71" i="8"/>
  <c r="Q71" i="8" s="1"/>
  <c r="E71" i="8"/>
  <c r="C71" i="8"/>
  <c r="C55" i="8"/>
  <c r="B55" i="8"/>
  <c r="F55" i="8" s="1"/>
  <c r="P55" i="8"/>
  <c r="Q55" i="8" s="1"/>
  <c r="O55" i="8"/>
  <c r="E55" i="8"/>
  <c r="D55" i="8"/>
  <c r="P106" i="8"/>
  <c r="Q106" i="8" s="1"/>
  <c r="O106" i="8"/>
  <c r="E106" i="8"/>
  <c r="D106" i="8"/>
  <c r="C106" i="8"/>
  <c r="B106" i="8"/>
  <c r="F106" i="8" s="1"/>
  <c r="O76" i="8"/>
  <c r="D76" i="8"/>
  <c r="E76" i="8"/>
  <c r="B76" i="8"/>
  <c r="F76" i="8" s="1"/>
  <c r="C76" i="8"/>
  <c r="P76" i="8"/>
  <c r="Q76" i="8" s="1"/>
  <c r="P60" i="8"/>
  <c r="Q60" i="8" s="1"/>
  <c r="O60" i="8"/>
  <c r="E60" i="8"/>
  <c r="D60" i="8"/>
  <c r="B60" i="8"/>
  <c r="F60" i="8" s="1"/>
  <c r="C60" i="8"/>
  <c r="S101" i="8"/>
  <c r="H101" i="8" s="1"/>
  <c r="R101" i="8"/>
  <c r="X101" i="8"/>
  <c r="M101" i="8" s="1"/>
  <c r="W101" i="8"/>
  <c r="L101" i="8" s="1"/>
  <c r="V101" i="8"/>
  <c r="K101" i="8" s="1"/>
  <c r="T101" i="8"/>
  <c r="I101" i="8" s="1"/>
  <c r="C7" i="8"/>
  <c r="B7" i="8"/>
  <c r="F7" i="8" s="1"/>
  <c r="P7" i="8"/>
  <c r="Q7" i="8" s="1"/>
  <c r="O7" i="8"/>
  <c r="E7" i="8"/>
  <c r="D7" i="8"/>
  <c r="P12" i="8"/>
  <c r="Q12" i="8" s="1"/>
  <c r="O12" i="8"/>
  <c r="E12" i="8"/>
  <c r="D12" i="8"/>
  <c r="B12" i="8"/>
  <c r="F12" i="8" s="1"/>
  <c r="C12" i="8"/>
  <c r="E41" i="8"/>
  <c r="B41" i="8"/>
  <c r="F41" i="8" s="1"/>
  <c r="O41" i="8"/>
  <c r="D41" i="8"/>
  <c r="C41" i="8"/>
  <c r="P41" i="8"/>
  <c r="Q41" i="8" s="1"/>
  <c r="P99" i="8"/>
  <c r="Q99" i="8" s="1"/>
  <c r="E99" i="8"/>
  <c r="D99" i="8"/>
  <c r="C99" i="8"/>
  <c r="B99" i="8"/>
  <c r="F99" i="8" s="1"/>
  <c r="O99" i="8"/>
  <c r="P13" i="8"/>
  <c r="Q13" i="8" s="1"/>
  <c r="O13" i="8"/>
  <c r="E13" i="8"/>
  <c r="C13" i="8"/>
  <c r="D13" i="8"/>
  <c r="B13" i="8"/>
  <c r="F13" i="8" s="1"/>
  <c r="C23" i="8"/>
  <c r="B23" i="8"/>
  <c r="F23" i="8" s="1"/>
  <c r="P23" i="8"/>
  <c r="Q23" i="8" s="1"/>
  <c r="O23" i="8"/>
  <c r="E23" i="8"/>
  <c r="D23" i="8"/>
  <c r="X115" i="8"/>
  <c r="M115" i="8" s="1"/>
  <c r="V115" i="8"/>
  <c r="K115" i="8" s="1"/>
  <c r="T115" i="8"/>
  <c r="I115" i="8" s="1"/>
  <c r="S115" i="8"/>
  <c r="H115" i="8" s="1"/>
  <c r="R115" i="8"/>
  <c r="G115" i="8" s="1"/>
  <c r="W115" i="8"/>
  <c r="C93" i="8"/>
  <c r="B93" i="8"/>
  <c r="F93" i="8" s="1"/>
  <c r="P93" i="8"/>
  <c r="Q93" i="8" s="1"/>
  <c r="O93" i="8"/>
  <c r="E93" i="8"/>
  <c r="D93" i="8"/>
  <c r="B22" i="8"/>
  <c r="F22" i="8" s="1"/>
  <c r="P22" i="8"/>
  <c r="Q22" i="8" s="1"/>
  <c r="O22" i="8"/>
  <c r="D22" i="8"/>
  <c r="E22" i="8"/>
  <c r="C22" i="8"/>
  <c r="B100" i="8"/>
  <c r="F100" i="8" s="1"/>
  <c r="O100" i="8"/>
  <c r="E100" i="8"/>
  <c r="D100" i="8"/>
  <c r="P100" i="8"/>
  <c r="Q100" i="8" s="1"/>
  <c r="C100" i="8"/>
  <c r="O19" i="8"/>
  <c r="E19" i="8"/>
  <c r="D19" i="8"/>
  <c r="C19" i="8"/>
  <c r="P19" i="8"/>
  <c r="Q19" i="8" s="1"/>
  <c r="B19" i="8"/>
  <c r="F19" i="8" s="1"/>
  <c r="J101" i="8"/>
  <c r="G101" i="8"/>
  <c r="D24" i="8"/>
  <c r="C24" i="8"/>
  <c r="B24" i="8"/>
  <c r="F24" i="8" s="1"/>
  <c r="P24" i="8"/>
  <c r="Q24" i="8" s="1"/>
  <c r="E24" i="8"/>
  <c r="O24" i="8"/>
  <c r="B46" i="8"/>
  <c r="F46" i="8" s="1"/>
  <c r="P46" i="8"/>
  <c r="Q46" i="8" s="1"/>
  <c r="O46" i="8"/>
  <c r="D46" i="8"/>
  <c r="E46" i="8"/>
  <c r="C46" i="8"/>
  <c r="B30" i="8"/>
  <c r="F30" i="8" s="1"/>
  <c r="O30" i="8"/>
  <c r="D30" i="8"/>
  <c r="E30" i="8"/>
  <c r="C30" i="8"/>
  <c r="P30" i="8"/>
  <c r="Q30" i="8" s="1"/>
  <c r="E58" i="8"/>
  <c r="D58" i="8"/>
  <c r="C58" i="8"/>
  <c r="B58" i="8"/>
  <c r="F58" i="8" s="1"/>
  <c r="P58" i="8"/>
  <c r="Q58" i="8" s="1"/>
  <c r="O58" i="8"/>
  <c r="AA3" i="1"/>
  <c r="F12" i="18" l="1"/>
  <c r="N20" i="18"/>
  <c r="F12" i="12"/>
  <c r="L115" i="8"/>
  <c r="Z117" i="8"/>
  <c r="Z118" i="8" s="1"/>
  <c r="Z119" i="8" s="1"/>
  <c r="H24" i="6" s="1"/>
  <c r="X115" i="10"/>
  <c r="Q115" i="10"/>
  <c r="R115" i="10" s="1"/>
  <c r="S115" i="10" s="1"/>
  <c r="G115" i="10"/>
  <c r="H115" i="10" s="1"/>
  <c r="I115" i="10" s="1"/>
  <c r="G17" i="6" s="1"/>
  <c r="N85" i="8"/>
  <c r="U115" i="10"/>
  <c r="R30" i="8"/>
  <c r="G30" i="8" s="1"/>
  <c r="X30" i="8"/>
  <c r="M30" i="8" s="1"/>
  <c r="W30" i="8"/>
  <c r="L30" i="8" s="1"/>
  <c r="T30" i="8"/>
  <c r="I30" i="8" s="1"/>
  <c r="V30" i="8"/>
  <c r="K30" i="8" s="1"/>
  <c r="S30" i="8"/>
  <c r="H30" i="8" s="1"/>
  <c r="J103" i="8"/>
  <c r="X106" i="8"/>
  <c r="M106" i="8" s="1"/>
  <c r="V106" i="8"/>
  <c r="K106" i="8" s="1"/>
  <c r="T106" i="8"/>
  <c r="I106" i="8" s="1"/>
  <c r="S106" i="8"/>
  <c r="H106" i="8" s="1"/>
  <c r="R106" i="8"/>
  <c r="G106" i="8" s="1"/>
  <c r="W106" i="8"/>
  <c r="L106" i="8" s="1"/>
  <c r="J78" i="8"/>
  <c r="X59" i="8"/>
  <c r="M59" i="8" s="1"/>
  <c r="W59" i="8"/>
  <c r="L59" i="8" s="1"/>
  <c r="V59" i="8"/>
  <c r="K59" i="8" s="1"/>
  <c r="T59" i="8"/>
  <c r="I59" i="8" s="1"/>
  <c r="S59" i="8"/>
  <c r="H59" i="8" s="1"/>
  <c r="R59" i="8"/>
  <c r="G59" i="8" s="1"/>
  <c r="J50" i="8"/>
  <c r="J39" i="8"/>
  <c r="J47" i="8"/>
  <c r="J113" i="8"/>
  <c r="W91" i="8"/>
  <c r="L91" i="8" s="1"/>
  <c r="V91" i="8"/>
  <c r="K91" i="8" s="1"/>
  <c r="T91" i="8"/>
  <c r="I91" i="8" s="1"/>
  <c r="S91" i="8"/>
  <c r="H91" i="8" s="1"/>
  <c r="X91" i="8"/>
  <c r="M91" i="8" s="1"/>
  <c r="R91" i="8"/>
  <c r="G91" i="8" s="1"/>
  <c r="X19" i="8"/>
  <c r="M19" i="8" s="1"/>
  <c r="W19" i="8"/>
  <c r="V19" i="8"/>
  <c r="K19" i="8" s="1"/>
  <c r="T19" i="8"/>
  <c r="I19" i="8" s="1"/>
  <c r="S19" i="8"/>
  <c r="H19" i="8" s="1"/>
  <c r="R19" i="8"/>
  <c r="G19" i="8" s="1"/>
  <c r="J22" i="8"/>
  <c r="S23" i="8"/>
  <c r="H23" i="8" s="1"/>
  <c r="R23" i="8"/>
  <c r="G23" i="8" s="1"/>
  <c r="X23" i="8"/>
  <c r="M23" i="8" s="1"/>
  <c r="V23" i="8"/>
  <c r="K23" i="8" s="1"/>
  <c r="W23" i="8"/>
  <c r="L23" i="8" s="1"/>
  <c r="T23" i="8"/>
  <c r="I23" i="8" s="1"/>
  <c r="X13" i="8"/>
  <c r="M13" i="8" s="1"/>
  <c r="W13" i="8"/>
  <c r="L13" i="8" s="1"/>
  <c r="V13" i="8"/>
  <c r="K13" i="8" s="1"/>
  <c r="S13" i="8"/>
  <c r="H13" i="8" s="1"/>
  <c r="T13" i="8"/>
  <c r="I13" i="8" s="1"/>
  <c r="R13" i="8"/>
  <c r="G13" i="8" s="1"/>
  <c r="S7" i="8"/>
  <c r="H7" i="8" s="1"/>
  <c r="R7" i="8"/>
  <c r="G7" i="8" s="1"/>
  <c r="X7" i="8"/>
  <c r="M7" i="8" s="1"/>
  <c r="V7" i="8"/>
  <c r="K7" i="8" s="1"/>
  <c r="T7" i="8"/>
  <c r="I7" i="8" s="1"/>
  <c r="W7" i="8"/>
  <c r="L7" i="8" s="1"/>
  <c r="J34" i="8"/>
  <c r="V25" i="8"/>
  <c r="K25" i="8" s="1"/>
  <c r="R25" i="8"/>
  <c r="G25" i="8" s="1"/>
  <c r="X25" i="8"/>
  <c r="M25" i="8" s="1"/>
  <c r="W25" i="8"/>
  <c r="L25" i="8" s="1"/>
  <c r="T25" i="8"/>
  <c r="I25" i="8" s="1"/>
  <c r="S25" i="8"/>
  <c r="H25" i="8" s="1"/>
  <c r="J3" i="8"/>
  <c r="V33" i="8"/>
  <c r="K33" i="8" s="1"/>
  <c r="R33" i="8"/>
  <c r="G33" i="8" s="1"/>
  <c r="X33" i="8"/>
  <c r="M33" i="8" s="1"/>
  <c r="T33" i="8"/>
  <c r="I33" i="8" s="1"/>
  <c r="W33" i="8"/>
  <c r="L33" i="8" s="1"/>
  <c r="S33" i="8"/>
  <c r="H33" i="8" s="1"/>
  <c r="W44" i="8"/>
  <c r="L44" i="8" s="1"/>
  <c r="V44" i="8"/>
  <c r="K44" i="8" s="1"/>
  <c r="T44" i="8"/>
  <c r="I44" i="8" s="1"/>
  <c r="R44" i="8"/>
  <c r="G44" i="8" s="1"/>
  <c r="X44" i="8"/>
  <c r="M44" i="8" s="1"/>
  <c r="S44" i="8"/>
  <c r="H44" i="8" s="1"/>
  <c r="S64" i="8"/>
  <c r="H64" i="8" s="1"/>
  <c r="R64" i="8"/>
  <c r="G64" i="8" s="1"/>
  <c r="T64" i="8"/>
  <c r="I64" i="8" s="1"/>
  <c r="W64" i="8"/>
  <c r="L64" i="8" s="1"/>
  <c r="X64" i="8"/>
  <c r="M64" i="8" s="1"/>
  <c r="V64" i="8"/>
  <c r="K64" i="8" s="1"/>
  <c r="J59" i="8"/>
  <c r="J20" i="8"/>
  <c r="X11" i="8"/>
  <c r="M11" i="8" s="1"/>
  <c r="W11" i="8"/>
  <c r="L11" i="8" s="1"/>
  <c r="V11" i="8"/>
  <c r="K11" i="8" s="1"/>
  <c r="T11" i="8"/>
  <c r="I11" i="8" s="1"/>
  <c r="S11" i="8"/>
  <c r="H11" i="8" s="1"/>
  <c r="R11" i="8"/>
  <c r="G11" i="8" s="1"/>
  <c r="W107" i="8"/>
  <c r="L107" i="8" s="1"/>
  <c r="V107" i="8"/>
  <c r="K107" i="8" s="1"/>
  <c r="T107" i="8"/>
  <c r="I107" i="8" s="1"/>
  <c r="S107" i="8"/>
  <c r="H107" i="8" s="1"/>
  <c r="R107" i="8"/>
  <c r="G107" i="8" s="1"/>
  <c r="X107" i="8"/>
  <c r="M107" i="8" s="1"/>
  <c r="S63" i="8"/>
  <c r="H63" i="8" s="1"/>
  <c r="R63" i="8"/>
  <c r="G63" i="8" s="1"/>
  <c r="X63" i="8"/>
  <c r="M63" i="8" s="1"/>
  <c r="V63" i="8"/>
  <c r="K63" i="8" s="1"/>
  <c r="W63" i="8"/>
  <c r="L63" i="8" s="1"/>
  <c r="T63" i="8"/>
  <c r="I63" i="8" s="1"/>
  <c r="J70" i="8"/>
  <c r="J69" i="8"/>
  <c r="X97" i="8"/>
  <c r="M97" i="8" s="1"/>
  <c r="W97" i="8"/>
  <c r="L97" i="8" s="1"/>
  <c r="T97" i="8"/>
  <c r="I97" i="8" s="1"/>
  <c r="S97" i="8"/>
  <c r="H97" i="8" s="1"/>
  <c r="R97" i="8"/>
  <c r="G97" i="8" s="1"/>
  <c r="V97" i="8"/>
  <c r="K97" i="8" s="1"/>
  <c r="J9" i="8"/>
  <c r="J17" i="8"/>
  <c r="R92" i="8"/>
  <c r="G92" i="8" s="1"/>
  <c r="X92" i="8"/>
  <c r="M92" i="8" s="1"/>
  <c r="W92" i="8"/>
  <c r="L92" i="8" s="1"/>
  <c r="V92" i="8"/>
  <c r="K92" i="8" s="1"/>
  <c r="T92" i="8"/>
  <c r="I92" i="8" s="1"/>
  <c r="S92" i="8"/>
  <c r="H92" i="8" s="1"/>
  <c r="X43" i="8"/>
  <c r="M43" i="8" s="1"/>
  <c r="T43" i="8"/>
  <c r="I43" i="8" s="1"/>
  <c r="S43" i="8"/>
  <c r="H43" i="8" s="1"/>
  <c r="W43" i="8"/>
  <c r="L43" i="8" s="1"/>
  <c r="V43" i="8"/>
  <c r="K43" i="8" s="1"/>
  <c r="R43" i="8"/>
  <c r="G43" i="8" s="1"/>
  <c r="T56" i="8"/>
  <c r="I56" i="8" s="1"/>
  <c r="S56" i="8"/>
  <c r="H56" i="8" s="1"/>
  <c r="R56" i="8"/>
  <c r="G56" i="8" s="1"/>
  <c r="W56" i="8"/>
  <c r="L56" i="8" s="1"/>
  <c r="X56" i="8"/>
  <c r="M56" i="8" s="1"/>
  <c r="V56" i="8"/>
  <c r="K56" i="8" s="1"/>
  <c r="J51" i="8"/>
  <c r="J57" i="8"/>
  <c r="R77" i="8"/>
  <c r="G77" i="8" s="1"/>
  <c r="X77" i="8"/>
  <c r="M77" i="8" s="1"/>
  <c r="V77" i="8"/>
  <c r="K77" i="8" s="1"/>
  <c r="W77" i="8"/>
  <c r="L77" i="8" s="1"/>
  <c r="T77" i="8"/>
  <c r="I77" i="8" s="1"/>
  <c r="S77" i="8"/>
  <c r="H77" i="8" s="1"/>
  <c r="T94" i="8"/>
  <c r="I94" i="8" s="1"/>
  <c r="S94" i="8"/>
  <c r="H94" i="8" s="1"/>
  <c r="X94" i="8"/>
  <c r="M94" i="8" s="1"/>
  <c r="W94" i="8"/>
  <c r="L94" i="8" s="1"/>
  <c r="V94" i="8"/>
  <c r="K94" i="8" s="1"/>
  <c r="R94" i="8"/>
  <c r="G94" i="8" s="1"/>
  <c r="J26" i="8"/>
  <c r="X82" i="8"/>
  <c r="M82" i="8" s="1"/>
  <c r="V82" i="8"/>
  <c r="K82" i="8" s="1"/>
  <c r="T82" i="8"/>
  <c r="I82" i="8" s="1"/>
  <c r="R82" i="8"/>
  <c r="G82" i="8" s="1"/>
  <c r="S82" i="8"/>
  <c r="H82" i="8" s="1"/>
  <c r="W82" i="8"/>
  <c r="L82" i="8" s="1"/>
  <c r="J28" i="8"/>
  <c r="J42" i="8"/>
  <c r="J72" i="8"/>
  <c r="W58" i="8"/>
  <c r="L58" i="8" s="1"/>
  <c r="V58" i="8"/>
  <c r="K58" i="8" s="1"/>
  <c r="T58" i="8"/>
  <c r="I58" i="8" s="1"/>
  <c r="S58" i="8"/>
  <c r="H58" i="8" s="1"/>
  <c r="R58" i="8"/>
  <c r="G58" i="8" s="1"/>
  <c r="X58" i="8"/>
  <c r="M58" i="8" s="1"/>
  <c r="J46" i="8"/>
  <c r="J23" i="8"/>
  <c r="J7" i="8"/>
  <c r="J106" i="8"/>
  <c r="J71" i="8"/>
  <c r="J102" i="8"/>
  <c r="J32" i="8"/>
  <c r="X3" i="8"/>
  <c r="M3" i="8" s="1"/>
  <c r="W3" i="8"/>
  <c r="V3" i="8"/>
  <c r="K3" i="8" s="1"/>
  <c r="T3" i="8"/>
  <c r="I3" i="8" s="1"/>
  <c r="S3" i="8"/>
  <c r="H3" i="8" s="1"/>
  <c r="R3" i="8"/>
  <c r="G3" i="8" s="1"/>
  <c r="S109" i="8"/>
  <c r="H109" i="8" s="1"/>
  <c r="R109" i="8"/>
  <c r="G109" i="8" s="1"/>
  <c r="X109" i="8"/>
  <c r="M109" i="8" s="1"/>
  <c r="W109" i="8"/>
  <c r="L109" i="8" s="1"/>
  <c r="V109" i="8"/>
  <c r="K109" i="8" s="1"/>
  <c r="T109" i="8"/>
  <c r="I109" i="8" s="1"/>
  <c r="J5" i="8"/>
  <c r="X4" i="8"/>
  <c r="M4" i="8" s="1"/>
  <c r="W4" i="8"/>
  <c r="L4" i="8" s="1"/>
  <c r="V4" i="8"/>
  <c r="K4" i="8" s="1"/>
  <c r="T4" i="8"/>
  <c r="I4" i="8" s="1"/>
  <c r="R4" i="8"/>
  <c r="G4" i="8" s="1"/>
  <c r="S4" i="8"/>
  <c r="H4" i="8" s="1"/>
  <c r="T48" i="8"/>
  <c r="I48" i="8" s="1"/>
  <c r="S48" i="8"/>
  <c r="H48" i="8" s="1"/>
  <c r="R48" i="8"/>
  <c r="G48" i="8" s="1"/>
  <c r="W48" i="8"/>
  <c r="L48" i="8" s="1"/>
  <c r="X48" i="8"/>
  <c r="M48" i="8" s="1"/>
  <c r="V48" i="8"/>
  <c r="K48" i="8" s="1"/>
  <c r="J64" i="8"/>
  <c r="X66" i="8"/>
  <c r="M66" i="8" s="1"/>
  <c r="V66" i="8"/>
  <c r="K66" i="8" s="1"/>
  <c r="T66" i="8"/>
  <c r="I66" i="8" s="1"/>
  <c r="R66" i="8"/>
  <c r="G66" i="8" s="1"/>
  <c r="S66" i="8"/>
  <c r="H66" i="8" s="1"/>
  <c r="W66" i="8"/>
  <c r="L66" i="8" s="1"/>
  <c r="J82" i="8"/>
  <c r="J29" i="8"/>
  <c r="J53" i="8"/>
  <c r="J49" i="8"/>
  <c r="J63" i="8"/>
  <c r="J87" i="8"/>
  <c r="J97" i="8"/>
  <c r="J38" i="8"/>
  <c r="J40" i="8"/>
  <c r="J43" i="8"/>
  <c r="J31" i="8"/>
  <c r="J56" i="8"/>
  <c r="X51" i="8"/>
  <c r="M51" i="8" s="1"/>
  <c r="W51" i="8"/>
  <c r="L51" i="8" s="1"/>
  <c r="V51" i="8"/>
  <c r="K51" i="8" s="1"/>
  <c r="T51" i="8"/>
  <c r="I51" i="8" s="1"/>
  <c r="S51" i="8"/>
  <c r="H51" i="8" s="1"/>
  <c r="R51" i="8"/>
  <c r="G51" i="8" s="1"/>
  <c r="W83" i="8"/>
  <c r="L83" i="8" s="1"/>
  <c r="V83" i="8"/>
  <c r="K83" i="8" s="1"/>
  <c r="S83" i="8"/>
  <c r="H83" i="8" s="1"/>
  <c r="X83" i="8"/>
  <c r="M83" i="8" s="1"/>
  <c r="T83" i="8"/>
  <c r="I83" i="8" s="1"/>
  <c r="R83" i="8"/>
  <c r="G83" i="8" s="1"/>
  <c r="J77" i="8"/>
  <c r="J62" i="8"/>
  <c r="R22" i="8"/>
  <c r="G22" i="8" s="1"/>
  <c r="X22" i="8"/>
  <c r="M22" i="8" s="1"/>
  <c r="W22" i="8"/>
  <c r="L22" i="8" s="1"/>
  <c r="T22" i="8"/>
  <c r="I22" i="8" s="1"/>
  <c r="V22" i="8"/>
  <c r="K22" i="8" s="1"/>
  <c r="S22" i="8"/>
  <c r="H22" i="8" s="1"/>
  <c r="J15" i="8"/>
  <c r="J36" i="8"/>
  <c r="R69" i="8"/>
  <c r="G69" i="8" s="1"/>
  <c r="X69" i="8"/>
  <c r="M69" i="8" s="1"/>
  <c r="V69" i="8"/>
  <c r="K69" i="8" s="1"/>
  <c r="W69" i="8"/>
  <c r="L69" i="8" s="1"/>
  <c r="S69" i="8"/>
  <c r="H69" i="8" s="1"/>
  <c r="T69" i="8"/>
  <c r="I69" i="8" s="1"/>
  <c r="T110" i="8"/>
  <c r="I110" i="8" s="1"/>
  <c r="S110" i="8"/>
  <c r="H110" i="8" s="1"/>
  <c r="X110" i="8"/>
  <c r="M110" i="8" s="1"/>
  <c r="W110" i="8"/>
  <c r="L110" i="8" s="1"/>
  <c r="V110" i="8"/>
  <c r="K110" i="8" s="1"/>
  <c r="R110" i="8"/>
  <c r="G110" i="8" s="1"/>
  <c r="J58" i="8"/>
  <c r="J100" i="8"/>
  <c r="J99" i="8"/>
  <c r="X12" i="8"/>
  <c r="M12" i="8" s="1"/>
  <c r="W12" i="8"/>
  <c r="L12" i="8" s="1"/>
  <c r="V12" i="8"/>
  <c r="K12" i="8" s="1"/>
  <c r="T12" i="8"/>
  <c r="I12" i="8" s="1"/>
  <c r="R12" i="8"/>
  <c r="G12" i="8" s="1"/>
  <c r="S12" i="8"/>
  <c r="H12" i="8" s="1"/>
  <c r="X60" i="8"/>
  <c r="M60" i="8" s="1"/>
  <c r="W60" i="8"/>
  <c r="L60" i="8" s="1"/>
  <c r="V60" i="8"/>
  <c r="K60" i="8" s="1"/>
  <c r="T60" i="8"/>
  <c r="I60" i="8" s="1"/>
  <c r="R60" i="8"/>
  <c r="G60" i="8" s="1"/>
  <c r="S60" i="8"/>
  <c r="H60" i="8" s="1"/>
  <c r="S55" i="8"/>
  <c r="H55" i="8" s="1"/>
  <c r="R55" i="8"/>
  <c r="G55" i="8" s="1"/>
  <c r="X55" i="8"/>
  <c r="M55" i="8" s="1"/>
  <c r="V55" i="8"/>
  <c r="K55" i="8" s="1"/>
  <c r="W55" i="8"/>
  <c r="L55" i="8" s="1"/>
  <c r="T55" i="8"/>
  <c r="I55" i="8" s="1"/>
  <c r="X61" i="8"/>
  <c r="M61" i="8" s="1"/>
  <c r="W61" i="8"/>
  <c r="L61" i="8" s="1"/>
  <c r="V61" i="8"/>
  <c r="K61" i="8" s="1"/>
  <c r="S61" i="8"/>
  <c r="H61" i="8" s="1"/>
  <c r="T61" i="8"/>
  <c r="I61" i="8" s="1"/>
  <c r="R61" i="8"/>
  <c r="G61" i="8" s="1"/>
  <c r="R54" i="8"/>
  <c r="G54" i="8" s="1"/>
  <c r="X54" i="8"/>
  <c r="M54" i="8" s="1"/>
  <c r="W54" i="8"/>
  <c r="L54" i="8" s="1"/>
  <c r="T54" i="8"/>
  <c r="I54" i="8" s="1"/>
  <c r="V54" i="8"/>
  <c r="K54" i="8" s="1"/>
  <c r="S54" i="8"/>
  <c r="H54" i="8" s="1"/>
  <c r="J25" i="8"/>
  <c r="W104" i="8"/>
  <c r="L104" i="8" s="1"/>
  <c r="V104" i="8"/>
  <c r="K104" i="8" s="1"/>
  <c r="S104" i="8"/>
  <c r="H104" i="8" s="1"/>
  <c r="R104" i="8"/>
  <c r="G104" i="8" s="1"/>
  <c r="X104" i="8"/>
  <c r="M104" i="8" s="1"/>
  <c r="T104" i="8"/>
  <c r="I104" i="8" s="1"/>
  <c r="J109" i="8"/>
  <c r="J33" i="8"/>
  <c r="X35" i="8"/>
  <c r="M35" i="8" s="1"/>
  <c r="T35" i="8"/>
  <c r="I35" i="8" s="1"/>
  <c r="S35" i="8"/>
  <c r="H35" i="8" s="1"/>
  <c r="R35" i="8"/>
  <c r="G35" i="8" s="1"/>
  <c r="W35" i="8"/>
  <c r="L35" i="8" s="1"/>
  <c r="V35" i="8"/>
  <c r="K35" i="8" s="1"/>
  <c r="J48" i="8"/>
  <c r="W18" i="8"/>
  <c r="L18" i="8" s="1"/>
  <c r="V18" i="8"/>
  <c r="K18" i="8" s="1"/>
  <c r="T18" i="8"/>
  <c r="I18" i="8" s="1"/>
  <c r="S18" i="8"/>
  <c r="H18" i="8" s="1"/>
  <c r="R18" i="8"/>
  <c r="G18" i="8" s="1"/>
  <c r="X18" i="8"/>
  <c r="M18" i="8" s="1"/>
  <c r="W75" i="8"/>
  <c r="L75" i="8" s="1"/>
  <c r="V75" i="8"/>
  <c r="K75" i="8" s="1"/>
  <c r="S75" i="8"/>
  <c r="H75" i="8" s="1"/>
  <c r="T75" i="8"/>
  <c r="I75" i="8" s="1"/>
  <c r="R75" i="8"/>
  <c r="G75" i="8" s="1"/>
  <c r="X75" i="8"/>
  <c r="M75" i="8" s="1"/>
  <c r="V28" i="8"/>
  <c r="K28" i="8" s="1"/>
  <c r="T28" i="8"/>
  <c r="I28" i="8" s="1"/>
  <c r="R28" i="8"/>
  <c r="G28" i="8" s="1"/>
  <c r="S28" i="8"/>
  <c r="H28" i="8" s="1"/>
  <c r="X28" i="8"/>
  <c r="M28" i="8" s="1"/>
  <c r="W28" i="8"/>
  <c r="L28" i="8" s="1"/>
  <c r="R108" i="8"/>
  <c r="G108" i="8" s="1"/>
  <c r="X108" i="8"/>
  <c r="M108" i="8" s="1"/>
  <c r="W108" i="8"/>
  <c r="L108" i="8" s="1"/>
  <c r="V108" i="8"/>
  <c r="K108" i="8" s="1"/>
  <c r="T108" i="8"/>
  <c r="I108" i="8" s="1"/>
  <c r="S108" i="8"/>
  <c r="H108" i="8" s="1"/>
  <c r="V36" i="8"/>
  <c r="K36" i="8" s="1"/>
  <c r="T36" i="8"/>
  <c r="I36" i="8" s="1"/>
  <c r="R36" i="8"/>
  <c r="G36" i="8" s="1"/>
  <c r="X36" i="8"/>
  <c r="M36" i="8" s="1"/>
  <c r="W36" i="8"/>
  <c r="L36" i="8" s="1"/>
  <c r="S36" i="8"/>
  <c r="H36" i="8" s="1"/>
  <c r="X52" i="8"/>
  <c r="M52" i="8" s="1"/>
  <c r="W52" i="8"/>
  <c r="L52" i="8" s="1"/>
  <c r="V52" i="8"/>
  <c r="K52" i="8" s="1"/>
  <c r="T52" i="8"/>
  <c r="I52" i="8" s="1"/>
  <c r="R52" i="8"/>
  <c r="G52" i="8" s="1"/>
  <c r="S52" i="8"/>
  <c r="H52" i="8" s="1"/>
  <c r="J86" i="8"/>
  <c r="X27" i="8"/>
  <c r="M27" i="8" s="1"/>
  <c r="T27" i="8"/>
  <c r="I27" i="8" s="1"/>
  <c r="S27" i="8"/>
  <c r="H27" i="8" s="1"/>
  <c r="W27" i="8"/>
  <c r="L27" i="8" s="1"/>
  <c r="V27" i="8"/>
  <c r="K27" i="8" s="1"/>
  <c r="R27" i="8"/>
  <c r="G27" i="8" s="1"/>
  <c r="T8" i="8"/>
  <c r="I8" i="8" s="1"/>
  <c r="S8" i="8"/>
  <c r="H8" i="8" s="1"/>
  <c r="R8" i="8"/>
  <c r="G8" i="8" s="1"/>
  <c r="W8" i="8"/>
  <c r="L8" i="8" s="1"/>
  <c r="X8" i="8"/>
  <c r="M8" i="8" s="1"/>
  <c r="V8" i="8"/>
  <c r="K8" i="8" s="1"/>
  <c r="X84" i="8"/>
  <c r="M84" i="8" s="1"/>
  <c r="W84" i="8"/>
  <c r="L84" i="8" s="1"/>
  <c r="T84" i="8"/>
  <c r="I84" i="8" s="1"/>
  <c r="V84" i="8"/>
  <c r="K84" i="8" s="1"/>
  <c r="S84" i="8"/>
  <c r="H84" i="8" s="1"/>
  <c r="R84" i="8"/>
  <c r="G84" i="8" s="1"/>
  <c r="X74" i="8"/>
  <c r="M74" i="8" s="1"/>
  <c r="V74" i="8"/>
  <c r="K74" i="8" s="1"/>
  <c r="T74" i="8"/>
  <c r="I74" i="8" s="1"/>
  <c r="R74" i="8"/>
  <c r="G74" i="8" s="1"/>
  <c r="W74" i="8"/>
  <c r="L74" i="8" s="1"/>
  <c r="S74" i="8"/>
  <c r="H74" i="8" s="1"/>
  <c r="W89" i="8"/>
  <c r="L89" i="8" s="1"/>
  <c r="T89" i="8"/>
  <c r="I89" i="8" s="1"/>
  <c r="S89" i="8"/>
  <c r="H89" i="8" s="1"/>
  <c r="R89" i="8"/>
  <c r="G89" i="8" s="1"/>
  <c r="X89" i="8"/>
  <c r="M89" i="8" s="1"/>
  <c r="V89" i="8"/>
  <c r="K89" i="8" s="1"/>
  <c r="R100" i="8"/>
  <c r="G100" i="8" s="1"/>
  <c r="X100" i="8"/>
  <c r="M100" i="8" s="1"/>
  <c r="W100" i="8"/>
  <c r="L100" i="8" s="1"/>
  <c r="V100" i="8"/>
  <c r="K100" i="8" s="1"/>
  <c r="T100" i="8"/>
  <c r="I100" i="8" s="1"/>
  <c r="S100" i="8"/>
  <c r="H100" i="8" s="1"/>
  <c r="V103" i="8"/>
  <c r="K103" i="8" s="1"/>
  <c r="T103" i="8"/>
  <c r="I103" i="8" s="1"/>
  <c r="R103" i="8"/>
  <c r="G103" i="8" s="1"/>
  <c r="X103" i="8"/>
  <c r="M103" i="8" s="1"/>
  <c r="W103" i="8"/>
  <c r="L103" i="8" s="1"/>
  <c r="S103" i="8"/>
  <c r="H103" i="8" s="1"/>
  <c r="J105" i="8"/>
  <c r="J11" i="8"/>
  <c r="T87" i="8"/>
  <c r="I87" i="8" s="1"/>
  <c r="R87" i="8"/>
  <c r="G87" i="8" s="1"/>
  <c r="X87" i="8"/>
  <c r="M87" i="8" s="1"/>
  <c r="V87" i="8"/>
  <c r="K87" i="8" s="1"/>
  <c r="W87" i="8"/>
  <c r="L87" i="8" s="1"/>
  <c r="S87" i="8"/>
  <c r="H87" i="8" s="1"/>
  <c r="J16" i="8"/>
  <c r="R46" i="8"/>
  <c r="G46" i="8" s="1"/>
  <c r="X46" i="8"/>
  <c r="M46" i="8" s="1"/>
  <c r="W46" i="8"/>
  <c r="L46" i="8" s="1"/>
  <c r="T46" i="8"/>
  <c r="I46" i="8" s="1"/>
  <c r="V46" i="8"/>
  <c r="K46" i="8" s="1"/>
  <c r="S46" i="8"/>
  <c r="H46" i="8" s="1"/>
  <c r="J30" i="8"/>
  <c r="J13" i="8"/>
  <c r="J41" i="8"/>
  <c r="X76" i="8"/>
  <c r="M76" i="8" s="1"/>
  <c r="W76" i="8"/>
  <c r="L76" i="8" s="1"/>
  <c r="T76" i="8"/>
  <c r="I76" i="8" s="1"/>
  <c r="V76" i="8"/>
  <c r="K76" i="8" s="1"/>
  <c r="R76" i="8"/>
  <c r="G76" i="8" s="1"/>
  <c r="S76" i="8"/>
  <c r="H76" i="8" s="1"/>
  <c r="J55" i="8"/>
  <c r="J94" i="8"/>
  <c r="S78" i="8"/>
  <c r="H78" i="8" s="1"/>
  <c r="W78" i="8"/>
  <c r="L78" i="8" s="1"/>
  <c r="X78" i="8"/>
  <c r="M78" i="8" s="1"/>
  <c r="T78" i="8"/>
  <c r="I78" i="8" s="1"/>
  <c r="V78" i="8"/>
  <c r="K78" i="8" s="1"/>
  <c r="R78" i="8"/>
  <c r="G78" i="8" s="1"/>
  <c r="W81" i="8"/>
  <c r="L81" i="8" s="1"/>
  <c r="T81" i="8"/>
  <c r="I81" i="8" s="1"/>
  <c r="S81" i="8"/>
  <c r="H81" i="8" s="1"/>
  <c r="X81" i="8"/>
  <c r="M81" i="8" s="1"/>
  <c r="V81" i="8"/>
  <c r="K81" i="8" s="1"/>
  <c r="R81" i="8"/>
  <c r="G81" i="8" s="1"/>
  <c r="J54" i="8"/>
  <c r="X45" i="8"/>
  <c r="M45" i="8" s="1"/>
  <c r="W45" i="8"/>
  <c r="L45" i="8" s="1"/>
  <c r="V45" i="8"/>
  <c r="K45" i="8" s="1"/>
  <c r="S45" i="8"/>
  <c r="H45" i="8" s="1"/>
  <c r="T45" i="8"/>
  <c r="I45" i="8" s="1"/>
  <c r="R45" i="8"/>
  <c r="G45" i="8" s="1"/>
  <c r="X21" i="8"/>
  <c r="M21" i="8" s="1"/>
  <c r="W21" i="8"/>
  <c r="L21" i="8" s="1"/>
  <c r="V21" i="8"/>
  <c r="K21" i="8" s="1"/>
  <c r="S21" i="8"/>
  <c r="H21" i="8" s="1"/>
  <c r="R21" i="8"/>
  <c r="G21" i="8" s="1"/>
  <c r="T21" i="8"/>
  <c r="I21" i="8" s="1"/>
  <c r="J104" i="8"/>
  <c r="J35" i="8"/>
  <c r="J18" i="8"/>
  <c r="J66" i="8"/>
  <c r="W65" i="8"/>
  <c r="L65" i="8" s="1"/>
  <c r="T65" i="8"/>
  <c r="I65" i="8" s="1"/>
  <c r="S65" i="8"/>
  <c r="H65" i="8" s="1"/>
  <c r="X65" i="8"/>
  <c r="M65" i="8" s="1"/>
  <c r="V65" i="8"/>
  <c r="K65" i="8" s="1"/>
  <c r="R65" i="8"/>
  <c r="G65" i="8" s="1"/>
  <c r="V95" i="8"/>
  <c r="K95" i="8" s="1"/>
  <c r="T95" i="8"/>
  <c r="I95" i="8" s="1"/>
  <c r="R95" i="8"/>
  <c r="G95" i="8" s="1"/>
  <c r="X95" i="8"/>
  <c r="M95" i="8" s="1"/>
  <c r="W95" i="8"/>
  <c r="L95" i="8" s="1"/>
  <c r="S95" i="8"/>
  <c r="H95" i="8" s="1"/>
  <c r="W29" i="8"/>
  <c r="L29" i="8" s="1"/>
  <c r="V29" i="8"/>
  <c r="K29" i="8" s="1"/>
  <c r="S29" i="8"/>
  <c r="H29" i="8" s="1"/>
  <c r="X29" i="8"/>
  <c r="M29" i="8" s="1"/>
  <c r="T29" i="8"/>
  <c r="I29" i="8" s="1"/>
  <c r="R29" i="8"/>
  <c r="G29" i="8" s="1"/>
  <c r="J107" i="8"/>
  <c r="S39" i="8"/>
  <c r="H39" i="8" s="1"/>
  <c r="X39" i="8"/>
  <c r="M39" i="8" s="1"/>
  <c r="V39" i="8"/>
  <c r="K39" i="8" s="1"/>
  <c r="W39" i="8"/>
  <c r="L39" i="8" s="1"/>
  <c r="T39" i="8"/>
  <c r="I39" i="8" s="1"/>
  <c r="R39" i="8"/>
  <c r="G39" i="8" s="1"/>
  <c r="X68" i="8"/>
  <c r="M68" i="8" s="1"/>
  <c r="W68" i="8"/>
  <c r="L68" i="8" s="1"/>
  <c r="T68" i="8"/>
  <c r="I68" i="8" s="1"/>
  <c r="V68" i="8"/>
  <c r="K68" i="8" s="1"/>
  <c r="S68" i="8"/>
  <c r="H68" i="8" s="1"/>
  <c r="R68" i="8"/>
  <c r="G68" i="8" s="1"/>
  <c r="S47" i="8"/>
  <c r="H47" i="8" s="1"/>
  <c r="R47" i="8"/>
  <c r="G47" i="8" s="1"/>
  <c r="X47" i="8"/>
  <c r="M47" i="8" s="1"/>
  <c r="V47" i="8"/>
  <c r="K47" i="8" s="1"/>
  <c r="W47" i="8"/>
  <c r="L47" i="8" s="1"/>
  <c r="T47" i="8"/>
  <c r="I47" i="8" s="1"/>
  <c r="T79" i="8"/>
  <c r="I79" i="8" s="1"/>
  <c r="R79" i="8"/>
  <c r="G79" i="8" s="1"/>
  <c r="X79" i="8"/>
  <c r="M79" i="8" s="1"/>
  <c r="W79" i="8"/>
  <c r="L79" i="8" s="1"/>
  <c r="V79" i="8"/>
  <c r="K79" i="8" s="1"/>
  <c r="S79" i="8"/>
  <c r="H79" i="8" s="1"/>
  <c r="V111" i="8"/>
  <c r="K111" i="8" s="1"/>
  <c r="T111" i="8"/>
  <c r="I111" i="8" s="1"/>
  <c r="R111" i="8"/>
  <c r="G111" i="8" s="1"/>
  <c r="X111" i="8"/>
  <c r="M111" i="8" s="1"/>
  <c r="W111" i="8"/>
  <c r="L111" i="8" s="1"/>
  <c r="S111" i="8"/>
  <c r="H111" i="8" s="1"/>
  <c r="S70" i="8"/>
  <c r="H70" i="8" s="1"/>
  <c r="W70" i="8"/>
  <c r="L70" i="8" s="1"/>
  <c r="X70" i="8"/>
  <c r="M70" i="8" s="1"/>
  <c r="V70" i="8"/>
  <c r="K70" i="8" s="1"/>
  <c r="T70" i="8"/>
  <c r="I70" i="8" s="1"/>
  <c r="R70" i="8"/>
  <c r="G70" i="8" s="1"/>
  <c r="W73" i="8"/>
  <c r="L73" i="8" s="1"/>
  <c r="T73" i="8"/>
  <c r="I73" i="8" s="1"/>
  <c r="S73" i="8"/>
  <c r="H73" i="8" s="1"/>
  <c r="R73" i="8"/>
  <c r="G73" i="8" s="1"/>
  <c r="X73" i="8"/>
  <c r="M73" i="8" s="1"/>
  <c r="V73" i="8"/>
  <c r="K73" i="8" s="1"/>
  <c r="J27" i="8"/>
  <c r="J8" i="8"/>
  <c r="J84" i="8"/>
  <c r="X98" i="8"/>
  <c r="M98" i="8" s="1"/>
  <c r="V98" i="8"/>
  <c r="K98" i="8" s="1"/>
  <c r="T98" i="8"/>
  <c r="I98" i="8" s="1"/>
  <c r="S98" i="8"/>
  <c r="H98" i="8" s="1"/>
  <c r="R98" i="8"/>
  <c r="G98" i="8" s="1"/>
  <c r="W98" i="8"/>
  <c r="L98" i="8" s="1"/>
  <c r="J91" i="8"/>
  <c r="W67" i="8"/>
  <c r="L67" i="8" s="1"/>
  <c r="V67" i="8"/>
  <c r="K67" i="8" s="1"/>
  <c r="S67" i="8"/>
  <c r="H67" i="8" s="1"/>
  <c r="X67" i="8"/>
  <c r="M67" i="8" s="1"/>
  <c r="T67" i="8"/>
  <c r="I67" i="8" s="1"/>
  <c r="R67" i="8"/>
  <c r="G67" i="8" s="1"/>
  <c r="J89" i="8"/>
  <c r="W99" i="8"/>
  <c r="L99" i="8" s="1"/>
  <c r="V99" i="8"/>
  <c r="K99" i="8" s="1"/>
  <c r="T99" i="8"/>
  <c r="I99" i="8" s="1"/>
  <c r="S99" i="8"/>
  <c r="H99" i="8" s="1"/>
  <c r="R99" i="8"/>
  <c r="G99" i="8" s="1"/>
  <c r="X99" i="8"/>
  <c r="M99" i="8" s="1"/>
  <c r="J21" i="8"/>
  <c r="V41" i="8"/>
  <c r="K41" i="8" s="1"/>
  <c r="R41" i="8"/>
  <c r="G41" i="8" s="1"/>
  <c r="X41" i="8"/>
  <c r="M41" i="8" s="1"/>
  <c r="W41" i="8"/>
  <c r="L41" i="8" s="1"/>
  <c r="T41" i="8"/>
  <c r="I41" i="8" s="1"/>
  <c r="S41" i="8"/>
  <c r="H41" i="8" s="1"/>
  <c r="J90" i="8"/>
  <c r="V49" i="8"/>
  <c r="K49" i="8" s="1"/>
  <c r="T49" i="8"/>
  <c r="I49" i="8" s="1"/>
  <c r="S49" i="8"/>
  <c r="H49" i="8" s="1"/>
  <c r="R49" i="8"/>
  <c r="G49" i="8" s="1"/>
  <c r="X49" i="8"/>
  <c r="M49" i="8" s="1"/>
  <c r="W49" i="8"/>
  <c r="L49" i="8" s="1"/>
  <c r="T102" i="8"/>
  <c r="I102" i="8" s="1"/>
  <c r="S102" i="8"/>
  <c r="H102" i="8" s="1"/>
  <c r="X102" i="8"/>
  <c r="M102" i="8" s="1"/>
  <c r="W102" i="8"/>
  <c r="L102" i="8" s="1"/>
  <c r="V102" i="8"/>
  <c r="K102" i="8" s="1"/>
  <c r="R102" i="8"/>
  <c r="G102" i="8" s="1"/>
  <c r="T32" i="8"/>
  <c r="I32" i="8" s="1"/>
  <c r="W32" i="8"/>
  <c r="L32" i="8" s="1"/>
  <c r="X32" i="8"/>
  <c r="M32" i="8" s="1"/>
  <c r="V32" i="8"/>
  <c r="K32" i="8" s="1"/>
  <c r="S32" i="8"/>
  <c r="H32" i="8" s="1"/>
  <c r="R32" i="8"/>
  <c r="G32" i="8" s="1"/>
  <c r="J45" i="8"/>
  <c r="J95" i="8"/>
  <c r="X20" i="8"/>
  <c r="M20" i="8" s="1"/>
  <c r="W20" i="8"/>
  <c r="L20" i="8" s="1"/>
  <c r="V20" i="8"/>
  <c r="K20" i="8" s="1"/>
  <c r="T20" i="8"/>
  <c r="I20" i="8" s="1"/>
  <c r="R20" i="8"/>
  <c r="G20" i="8" s="1"/>
  <c r="S20" i="8"/>
  <c r="H20" i="8" s="1"/>
  <c r="W37" i="8"/>
  <c r="L37" i="8" s="1"/>
  <c r="V37" i="8"/>
  <c r="K37" i="8" s="1"/>
  <c r="S37" i="8"/>
  <c r="H37" i="8" s="1"/>
  <c r="T37" i="8"/>
  <c r="I37" i="8" s="1"/>
  <c r="R37" i="8"/>
  <c r="G37" i="8" s="1"/>
  <c r="X37" i="8"/>
  <c r="M37" i="8" s="1"/>
  <c r="J68" i="8"/>
  <c r="J111" i="8"/>
  <c r="J73" i="8"/>
  <c r="N115" i="8"/>
  <c r="W112" i="8"/>
  <c r="L112" i="8" s="1"/>
  <c r="V112" i="8"/>
  <c r="K112" i="8" s="1"/>
  <c r="S112" i="8"/>
  <c r="H112" i="8" s="1"/>
  <c r="R112" i="8"/>
  <c r="G112" i="8" s="1"/>
  <c r="X112" i="8"/>
  <c r="M112" i="8" s="1"/>
  <c r="T112" i="8"/>
  <c r="I112" i="8" s="1"/>
  <c r="R6" i="8"/>
  <c r="G6" i="8" s="1"/>
  <c r="X6" i="8"/>
  <c r="M6" i="8" s="1"/>
  <c r="W6" i="8"/>
  <c r="L6" i="8" s="1"/>
  <c r="T6" i="8"/>
  <c r="I6" i="8" s="1"/>
  <c r="V6" i="8"/>
  <c r="K6" i="8" s="1"/>
  <c r="S6" i="8"/>
  <c r="H6" i="8" s="1"/>
  <c r="J110" i="8"/>
  <c r="R14" i="8"/>
  <c r="G14" i="8" s="1"/>
  <c r="X14" i="8"/>
  <c r="M14" i="8" s="1"/>
  <c r="W14" i="8"/>
  <c r="L14" i="8" s="1"/>
  <c r="T14" i="8"/>
  <c r="I14" i="8" s="1"/>
  <c r="S14" i="8"/>
  <c r="H14" i="8" s="1"/>
  <c r="V14" i="8"/>
  <c r="K14" i="8" s="1"/>
  <c r="T40" i="8"/>
  <c r="I40" i="8" s="1"/>
  <c r="W40" i="8"/>
  <c r="L40" i="8" s="1"/>
  <c r="X40" i="8"/>
  <c r="M40" i="8" s="1"/>
  <c r="S40" i="8"/>
  <c r="H40" i="8" s="1"/>
  <c r="V40" i="8"/>
  <c r="K40" i="8" s="1"/>
  <c r="R40" i="8"/>
  <c r="G40" i="8" s="1"/>
  <c r="S31" i="8"/>
  <c r="H31" i="8" s="1"/>
  <c r="X31" i="8"/>
  <c r="M31" i="8" s="1"/>
  <c r="V31" i="8"/>
  <c r="K31" i="8" s="1"/>
  <c r="W31" i="8"/>
  <c r="L31" i="8" s="1"/>
  <c r="R31" i="8"/>
  <c r="G31" i="8" s="1"/>
  <c r="T31" i="8"/>
  <c r="I31" i="8" s="1"/>
  <c r="V88" i="8"/>
  <c r="K88" i="8" s="1"/>
  <c r="S88" i="8"/>
  <c r="H88" i="8" s="1"/>
  <c r="R88" i="8"/>
  <c r="G88" i="8" s="1"/>
  <c r="X88" i="8"/>
  <c r="M88" i="8" s="1"/>
  <c r="W88" i="8"/>
  <c r="L88" i="8" s="1"/>
  <c r="T88" i="8"/>
  <c r="I88" i="8" s="1"/>
  <c r="J83" i="8"/>
  <c r="J74" i="8"/>
  <c r="J12" i="8"/>
  <c r="J19" i="8"/>
  <c r="T71" i="8"/>
  <c r="I71" i="8" s="1"/>
  <c r="R71" i="8"/>
  <c r="G71" i="8" s="1"/>
  <c r="X71" i="8"/>
  <c r="M71" i="8" s="1"/>
  <c r="V71" i="8"/>
  <c r="K71" i="8" s="1"/>
  <c r="W71" i="8"/>
  <c r="L71" i="8" s="1"/>
  <c r="S71" i="8"/>
  <c r="H71" i="8" s="1"/>
  <c r="W34" i="8"/>
  <c r="L34" i="8" s="1"/>
  <c r="S34" i="8"/>
  <c r="H34" i="8" s="1"/>
  <c r="R34" i="8"/>
  <c r="G34" i="8" s="1"/>
  <c r="X34" i="8"/>
  <c r="M34" i="8" s="1"/>
  <c r="V34" i="8"/>
  <c r="K34" i="8" s="1"/>
  <c r="T34" i="8"/>
  <c r="I34" i="8" s="1"/>
  <c r="J10" i="8"/>
  <c r="J79" i="8"/>
  <c r="T24" i="8"/>
  <c r="I24" i="8" s="1"/>
  <c r="S24" i="8"/>
  <c r="H24" i="8" s="1"/>
  <c r="R24" i="8"/>
  <c r="G24" i="8" s="1"/>
  <c r="W24" i="8"/>
  <c r="L24" i="8" s="1"/>
  <c r="X24" i="8"/>
  <c r="M24" i="8" s="1"/>
  <c r="V24" i="8"/>
  <c r="K24" i="8" s="1"/>
  <c r="S93" i="8"/>
  <c r="H93" i="8" s="1"/>
  <c r="R93" i="8"/>
  <c r="G93" i="8" s="1"/>
  <c r="X93" i="8"/>
  <c r="M93" i="8" s="1"/>
  <c r="W93" i="8"/>
  <c r="L93" i="8" s="1"/>
  <c r="V93" i="8"/>
  <c r="K93" i="8" s="1"/>
  <c r="T93" i="8"/>
  <c r="I93" i="8" s="1"/>
  <c r="J24" i="8"/>
  <c r="N101" i="8"/>
  <c r="J93" i="8"/>
  <c r="J76" i="8"/>
  <c r="R62" i="8"/>
  <c r="G62" i="8" s="1"/>
  <c r="X62" i="8"/>
  <c r="M62" i="8" s="1"/>
  <c r="W62" i="8"/>
  <c r="L62" i="8" s="1"/>
  <c r="T62" i="8"/>
  <c r="I62" i="8" s="1"/>
  <c r="V62" i="8"/>
  <c r="K62" i="8" s="1"/>
  <c r="S62" i="8"/>
  <c r="H62" i="8" s="1"/>
  <c r="J61" i="8"/>
  <c r="J81" i="8"/>
  <c r="W26" i="8"/>
  <c r="L26" i="8" s="1"/>
  <c r="S26" i="8"/>
  <c r="H26" i="8" s="1"/>
  <c r="R26" i="8"/>
  <c r="G26" i="8" s="1"/>
  <c r="V26" i="8"/>
  <c r="K26" i="8" s="1"/>
  <c r="X26" i="8"/>
  <c r="M26" i="8" s="1"/>
  <c r="T26" i="8"/>
  <c r="I26" i="8" s="1"/>
  <c r="X5" i="8"/>
  <c r="M5" i="8" s="1"/>
  <c r="W5" i="8"/>
  <c r="L5" i="8" s="1"/>
  <c r="V5" i="8"/>
  <c r="K5" i="8" s="1"/>
  <c r="S5" i="8"/>
  <c r="H5" i="8" s="1"/>
  <c r="T5" i="8"/>
  <c r="I5" i="8" s="1"/>
  <c r="R5" i="8"/>
  <c r="G5" i="8" s="1"/>
  <c r="J4" i="8"/>
  <c r="J44" i="8"/>
  <c r="V80" i="8"/>
  <c r="K80" i="8" s="1"/>
  <c r="S80" i="8"/>
  <c r="H80" i="8" s="1"/>
  <c r="R80" i="8"/>
  <c r="G80" i="8" s="1"/>
  <c r="W80" i="8"/>
  <c r="L80" i="8" s="1"/>
  <c r="X80" i="8"/>
  <c r="M80" i="8" s="1"/>
  <c r="T80" i="8"/>
  <c r="I80" i="8" s="1"/>
  <c r="W96" i="8"/>
  <c r="L96" i="8" s="1"/>
  <c r="V96" i="8"/>
  <c r="K96" i="8" s="1"/>
  <c r="S96" i="8"/>
  <c r="H96" i="8" s="1"/>
  <c r="R96" i="8"/>
  <c r="G96" i="8" s="1"/>
  <c r="X96" i="8"/>
  <c r="M96" i="8" s="1"/>
  <c r="T96" i="8"/>
  <c r="I96" i="8" s="1"/>
  <c r="J65" i="8"/>
  <c r="X90" i="8"/>
  <c r="M90" i="8" s="1"/>
  <c r="V90" i="8"/>
  <c r="K90" i="8" s="1"/>
  <c r="T90" i="8"/>
  <c r="I90" i="8" s="1"/>
  <c r="R90" i="8"/>
  <c r="G90" i="8" s="1"/>
  <c r="W90" i="8"/>
  <c r="L90" i="8" s="1"/>
  <c r="S90" i="8"/>
  <c r="H90" i="8" s="1"/>
  <c r="J37" i="8"/>
  <c r="S86" i="8"/>
  <c r="H86" i="8" s="1"/>
  <c r="W86" i="8"/>
  <c r="L86" i="8" s="1"/>
  <c r="X86" i="8"/>
  <c r="M86" i="8" s="1"/>
  <c r="V86" i="8"/>
  <c r="K86" i="8" s="1"/>
  <c r="T86" i="8"/>
  <c r="I86" i="8" s="1"/>
  <c r="R86" i="8"/>
  <c r="G86" i="8" s="1"/>
  <c r="X113" i="8"/>
  <c r="M113" i="8" s="1"/>
  <c r="W113" i="8"/>
  <c r="L113" i="8" s="1"/>
  <c r="T113" i="8"/>
  <c r="I113" i="8" s="1"/>
  <c r="S113" i="8"/>
  <c r="H113" i="8" s="1"/>
  <c r="R113" i="8"/>
  <c r="G113" i="8" s="1"/>
  <c r="V113" i="8"/>
  <c r="K113" i="8" s="1"/>
  <c r="J112" i="8"/>
  <c r="J6" i="8"/>
  <c r="R38" i="8"/>
  <c r="G38" i="8" s="1"/>
  <c r="X38" i="8"/>
  <c r="M38" i="8" s="1"/>
  <c r="W38" i="8"/>
  <c r="L38" i="8" s="1"/>
  <c r="T38" i="8"/>
  <c r="I38" i="8" s="1"/>
  <c r="V38" i="8"/>
  <c r="K38" i="8" s="1"/>
  <c r="S38" i="8"/>
  <c r="H38" i="8" s="1"/>
  <c r="J92" i="8"/>
  <c r="J14" i="8"/>
  <c r="J88" i="8"/>
  <c r="J60" i="8"/>
  <c r="J80" i="8"/>
  <c r="J75" i="8"/>
  <c r="J96" i="8"/>
  <c r="X105" i="8"/>
  <c r="M105" i="8" s="1"/>
  <c r="W105" i="8"/>
  <c r="L105" i="8" s="1"/>
  <c r="T105" i="8"/>
  <c r="I105" i="8" s="1"/>
  <c r="S105" i="8"/>
  <c r="H105" i="8" s="1"/>
  <c r="R105" i="8"/>
  <c r="G105" i="8" s="1"/>
  <c r="V105" i="8"/>
  <c r="K105" i="8" s="1"/>
  <c r="W50" i="8"/>
  <c r="L50" i="8" s="1"/>
  <c r="V50" i="8"/>
  <c r="K50" i="8" s="1"/>
  <c r="T50" i="8"/>
  <c r="I50" i="8" s="1"/>
  <c r="S50" i="8"/>
  <c r="H50" i="8" s="1"/>
  <c r="R50" i="8"/>
  <c r="G50" i="8" s="1"/>
  <c r="X50" i="8"/>
  <c r="M50" i="8" s="1"/>
  <c r="S15" i="8"/>
  <c r="H15" i="8" s="1"/>
  <c r="R15" i="8"/>
  <c r="G15" i="8" s="1"/>
  <c r="X15" i="8"/>
  <c r="M15" i="8" s="1"/>
  <c r="V15" i="8"/>
  <c r="K15" i="8" s="1"/>
  <c r="W15" i="8"/>
  <c r="L15" i="8" s="1"/>
  <c r="T15" i="8"/>
  <c r="I15" i="8" s="1"/>
  <c r="J108" i="8"/>
  <c r="W10" i="8"/>
  <c r="L10" i="8" s="1"/>
  <c r="V10" i="8"/>
  <c r="K10" i="8" s="1"/>
  <c r="T10" i="8"/>
  <c r="I10" i="8" s="1"/>
  <c r="S10" i="8"/>
  <c r="H10" i="8" s="1"/>
  <c r="R10" i="8"/>
  <c r="G10" i="8" s="1"/>
  <c r="X10" i="8"/>
  <c r="M10" i="8" s="1"/>
  <c r="W42" i="8"/>
  <c r="L42" i="8" s="1"/>
  <c r="S42" i="8"/>
  <c r="H42" i="8" s="1"/>
  <c r="R42" i="8"/>
  <c r="G42" i="8" s="1"/>
  <c r="V42" i="8"/>
  <c r="K42" i="8" s="1"/>
  <c r="T42" i="8"/>
  <c r="I42" i="8" s="1"/>
  <c r="X42" i="8"/>
  <c r="M42" i="8" s="1"/>
  <c r="X53" i="8"/>
  <c r="M53" i="8" s="1"/>
  <c r="W53" i="8"/>
  <c r="L53" i="8" s="1"/>
  <c r="V53" i="8"/>
  <c r="K53" i="8" s="1"/>
  <c r="S53" i="8"/>
  <c r="H53" i="8" s="1"/>
  <c r="T53" i="8"/>
  <c r="I53" i="8" s="1"/>
  <c r="R53" i="8"/>
  <c r="G53" i="8" s="1"/>
  <c r="J52" i="8"/>
  <c r="V9" i="8"/>
  <c r="K9" i="8" s="1"/>
  <c r="T9" i="8"/>
  <c r="I9" i="8" s="1"/>
  <c r="S9" i="8"/>
  <c r="H9" i="8" s="1"/>
  <c r="R9" i="8"/>
  <c r="G9" i="8" s="1"/>
  <c r="X9" i="8"/>
  <c r="M9" i="8" s="1"/>
  <c r="W9" i="8"/>
  <c r="L9" i="8" s="1"/>
  <c r="T16" i="8"/>
  <c r="I16" i="8" s="1"/>
  <c r="S16" i="8"/>
  <c r="H16" i="8" s="1"/>
  <c r="R16" i="8"/>
  <c r="G16" i="8" s="1"/>
  <c r="W16" i="8"/>
  <c r="L16" i="8" s="1"/>
  <c r="X16" i="8"/>
  <c r="M16" i="8" s="1"/>
  <c r="V16" i="8"/>
  <c r="K16" i="8" s="1"/>
  <c r="V17" i="8"/>
  <c r="K17" i="8" s="1"/>
  <c r="T17" i="8"/>
  <c r="I17" i="8" s="1"/>
  <c r="S17" i="8"/>
  <c r="H17" i="8" s="1"/>
  <c r="R17" i="8"/>
  <c r="G17" i="8" s="1"/>
  <c r="X17" i="8"/>
  <c r="M17" i="8" s="1"/>
  <c r="W17" i="8"/>
  <c r="L17" i="8" s="1"/>
  <c r="J98" i="8"/>
  <c r="V72" i="8"/>
  <c r="K72" i="8" s="1"/>
  <c r="S72" i="8"/>
  <c r="H72" i="8" s="1"/>
  <c r="R72" i="8"/>
  <c r="G72" i="8" s="1"/>
  <c r="X72" i="8"/>
  <c r="M72" i="8" s="1"/>
  <c r="W72" i="8"/>
  <c r="L72" i="8" s="1"/>
  <c r="T72" i="8"/>
  <c r="I72" i="8" s="1"/>
  <c r="J67" i="8"/>
  <c r="V57" i="8"/>
  <c r="K57" i="8" s="1"/>
  <c r="T57" i="8"/>
  <c r="I57" i="8" s="1"/>
  <c r="S57" i="8"/>
  <c r="H57" i="8" s="1"/>
  <c r="R57" i="8"/>
  <c r="G57" i="8" s="1"/>
  <c r="X57" i="8"/>
  <c r="M57" i="8" s="1"/>
  <c r="W57" i="8"/>
  <c r="L57" i="8" s="1"/>
  <c r="F3" i="4"/>
  <c r="G3" i="4" s="1"/>
  <c r="G19" i="6" l="1"/>
  <c r="G12" i="18" s="1"/>
  <c r="P20" i="18"/>
  <c r="P20" i="12"/>
  <c r="D12" i="18"/>
  <c r="O20" i="18"/>
  <c r="D12" i="12"/>
  <c r="G87" i="1"/>
  <c r="N20" i="12"/>
  <c r="L3" i="8"/>
  <c r="N5" i="8"/>
  <c r="N44" i="8"/>
  <c r="N4" i="8"/>
  <c r="N82" i="8"/>
  <c r="N64" i="8"/>
  <c r="N7" i="8"/>
  <c r="G87" i="7"/>
  <c r="N77" i="8"/>
  <c r="N92" i="8"/>
  <c r="N23" i="8"/>
  <c r="N79" i="8"/>
  <c r="N66" i="8"/>
  <c r="N35" i="8"/>
  <c r="N98" i="8"/>
  <c r="N95" i="8"/>
  <c r="N37" i="8"/>
  <c r="N75" i="8"/>
  <c r="N55" i="8"/>
  <c r="N8" i="8"/>
  <c r="N13" i="8"/>
  <c r="N106" i="8"/>
  <c r="N14" i="8"/>
  <c r="N63" i="8"/>
  <c r="N59" i="8"/>
  <c r="L19" i="8"/>
  <c r="N30" i="8"/>
  <c r="N60" i="8"/>
  <c r="N81" i="8"/>
  <c r="N48" i="8"/>
  <c r="N67" i="8"/>
  <c r="N52" i="8"/>
  <c r="N97" i="8"/>
  <c r="N104" i="8"/>
  <c r="N25" i="8"/>
  <c r="N43" i="8"/>
  <c r="N83" i="8"/>
  <c r="N93" i="8"/>
  <c r="N45" i="8"/>
  <c r="N89" i="8"/>
  <c r="N33" i="8"/>
  <c r="N94" i="8"/>
  <c r="N84" i="8"/>
  <c r="N61" i="8"/>
  <c r="N11" i="8"/>
  <c r="N100" i="8"/>
  <c r="N65" i="8"/>
  <c r="N76" i="8"/>
  <c r="N91" i="8"/>
  <c r="G103" i="7"/>
  <c r="G103" i="1"/>
  <c r="N12" i="8"/>
  <c r="N18" i="8"/>
  <c r="N73" i="8"/>
  <c r="N56" i="8"/>
  <c r="N96" i="8"/>
  <c r="N24" i="8"/>
  <c r="N107" i="8"/>
  <c r="N15" i="8"/>
  <c r="N88" i="8"/>
  <c r="N108" i="8"/>
  <c r="N27" i="8"/>
  <c r="N40" i="8"/>
  <c r="N110" i="8"/>
  <c r="N6" i="8"/>
  <c r="N10" i="8"/>
  <c r="N68" i="8"/>
  <c r="N21" i="8"/>
  <c r="N105" i="8"/>
  <c r="N87" i="8"/>
  <c r="N53" i="8"/>
  <c r="N102" i="8"/>
  <c r="N26" i="8"/>
  <c r="N9" i="8"/>
  <c r="N69" i="8"/>
  <c r="N19" i="8"/>
  <c r="N74" i="8"/>
  <c r="N31" i="8"/>
  <c r="N29" i="8"/>
  <c r="N32" i="8"/>
  <c r="N46" i="8"/>
  <c r="N28" i="8"/>
  <c r="N57" i="8"/>
  <c r="N17" i="8"/>
  <c r="N70" i="8"/>
  <c r="N47" i="8"/>
  <c r="N111" i="8"/>
  <c r="N41" i="8"/>
  <c r="N99" i="8"/>
  <c r="N58" i="8"/>
  <c r="N38" i="8"/>
  <c r="N3" i="8"/>
  <c r="N39" i="8"/>
  <c r="N50" i="8"/>
  <c r="N49" i="8"/>
  <c r="N71" i="8"/>
  <c r="N72" i="8"/>
  <c r="N42" i="8"/>
  <c r="N20" i="8"/>
  <c r="N34" i="8"/>
  <c r="N80" i="8"/>
  <c r="N112" i="8"/>
  <c r="N54" i="8"/>
  <c r="N16" i="8"/>
  <c r="N109" i="8"/>
  <c r="N62" i="8"/>
  <c r="N90" i="8"/>
  <c r="N86" i="8"/>
  <c r="N36" i="8"/>
  <c r="N51" i="8"/>
  <c r="N22" i="8"/>
  <c r="N113" i="8"/>
  <c r="N78" i="8"/>
  <c r="N103" i="8"/>
  <c r="H3" i="4"/>
  <c r="H4" i="4" s="1"/>
  <c r="H5" i="4" s="1"/>
  <c r="H6" i="4" s="1"/>
  <c r="H7" i="4" s="1"/>
  <c r="H8" i="4" s="1"/>
  <c r="H9" i="4" s="1"/>
  <c r="H10" i="4" s="1"/>
  <c r="H11" i="4" s="1"/>
  <c r="H12" i="4" s="1"/>
  <c r="H13" i="4" s="1"/>
  <c r="H14" i="4" s="1"/>
  <c r="H15" i="4" s="1"/>
  <c r="H16" i="4" s="1"/>
  <c r="H17" i="4" s="1"/>
  <c r="H18" i="4" s="1"/>
  <c r="E3" i="4"/>
  <c r="E4" i="4" s="1"/>
  <c r="E5" i="4" s="1"/>
  <c r="E6" i="4" s="1"/>
  <c r="F12" i="4"/>
  <c r="G12" i="4" s="1"/>
  <c r="F7" i="4"/>
  <c r="G7" i="4" s="1"/>
  <c r="F18" i="4"/>
  <c r="G18" i="4" s="1"/>
  <c r="F15" i="4"/>
  <c r="G15" i="4" s="1"/>
  <c r="F5" i="4"/>
  <c r="G5" i="4" s="1"/>
  <c r="F8" i="4"/>
  <c r="G8" i="4" s="1"/>
  <c r="F13" i="4"/>
  <c r="G13" i="4" s="1"/>
  <c r="F17" i="4"/>
  <c r="G17" i="4" s="1"/>
  <c r="F14" i="4"/>
  <c r="G14" i="4" s="1"/>
  <c r="F11" i="4"/>
  <c r="G11" i="4" s="1"/>
  <c r="F4" i="4"/>
  <c r="G4" i="4" s="1"/>
  <c r="F10" i="4"/>
  <c r="G10" i="4" s="1"/>
  <c r="F6" i="4"/>
  <c r="G6" i="4" s="1"/>
  <c r="F16" i="4"/>
  <c r="G16" i="4" s="1"/>
  <c r="F9" i="4"/>
  <c r="G9" i="4" s="1"/>
  <c r="I18" i="4"/>
  <c r="I8" i="4"/>
  <c r="I5" i="4"/>
  <c r="I9" i="4"/>
  <c r="I11" i="4"/>
  <c r="I15" i="4"/>
  <c r="I17" i="4"/>
  <c r="I14" i="4"/>
  <c r="I4" i="4"/>
  <c r="I6" i="4"/>
  <c r="I3" i="4"/>
  <c r="J3" i="4" s="1"/>
  <c r="J4" i="4" s="1"/>
  <c r="J5" i="4" s="1"/>
  <c r="J6" i="4" s="1"/>
  <c r="J7" i="4" s="1"/>
  <c r="J8" i="4" s="1"/>
  <c r="J9" i="4" s="1"/>
  <c r="J10" i="4" s="1"/>
  <c r="J11" i="4" s="1"/>
  <c r="J12" i="4" s="1"/>
  <c r="J13" i="4" s="1"/>
  <c r="J14" i="4" s="1"/>
  <c r="J15" i="4" s="1"/>
  <c r="J16" i="4" s="1"/>
  <c r="J17" i="4" s="1"/>
  <c r="J18" i="4" s="1"/>
  <c r="I7" i="4"/>
  <c r="I12" i="4"/>
  <c r="I16" i="4"/>
  <c r="I13" i="4"/>
  <c r="I10" i="4"/>
  <c r="G12" i="12" l="1"/>
  <c r="D100" i="10"/>
  <c r="V100" i="10" s="1"/>
  <c r="W100" i="10" s="1"/>
  <c r="B105" i="17"/>
  <c r="D84" i="10"/>
  <c r="V84" i="10" s="1"/>
  <c r="W84" i="10" s="1"/>
  <c r="B89" i="17"/>
  <c r="G35" i="7"/>
  <c r="C25" i="18" s="1"/>
  <c r="G99" i="7"/>
  <c r="G61" i="7"/>
  <c r="G39" i="7"/>
  <c r="B41" i="17" s="1"/>
  <c r="G79" i="7"/>
  <c r="G91" i="7"/>
  <c r="G54" i="7"/>
  <c r="G65" i="7"/>
  <c r="G97" i="7"/>
  <c r="G47" i="7"/>
  <c r="G69" i="1"/>
  <c r="G16" i="7"/>
  <c r="G100" i="1"/>
  <c r="B102" i="14" s="1"/>
  <c r="G9" i="1"/>
  <c r="B11" i="14" s="1"/>
  <c r="G95" i="7"/>
  <c r="G50" i="7"/>
  <c r="G108" i="7"/>
  <c r="G37" i="7"/>
  <c r="G66" i="7"/>
  <c r="G85" i="7"/>
  <c r="G83" i="7"/>
  <c r="G15" i="7"/>
  <c r="G68" i="1"/>
  <c r="G84" i="1"/>
  <c r="G45" i="1"/>
  <c r="B47" i="14" s="1"/>
  <c r="G62" i="7"/>
  <c r="G10" i="7"/>
  <c r="G81" i="1"/>
  <c r="G6" i="7"/>
  <c r="D216" i="10"/>
  <c r="V216" i="10" s="1"/>
  <c r="W216" i="10" s="1"/>
  <c r="B105" i="14"/>
  <c r="G27" i="7"/>
  <c r="G32" i="7"/>
  <c r="G57" i="1"/>
  <c r="G25" i="1"/>
  <c r="B27" i="14" s="1"/>
  <c r="G46" i="1"/>
  <c r="G106" i="7"/>
  <c r="G77" i="7"/>
  <c r="G94" i="7"/>
  <c r="D200" i="10"/>
  <c r="V200" i="10" s="1"/>
  <c r="W200" i="10" s="1"/>
  <c r="B89" i="14"/>
  <c r="O20" i="12"/>
  <c r="G6" i="1"/>
  <c r="G46" i="7"/>
  <c r="G84" i="7"/>
  <c r="G66" i="1"/>
  <c r="G15" i="1"/>
  <c r="B17" i="14" s="1"/>
  <c r="G68" i="7"/>
  <c r="G81" i="7"/>
  <c r="G9" i="7"/>
  <c r="G79" i="1"/>
  <c r="G10" i="1"/>
  <c r="B12" i="14" s="1"/>
  <c r="G45" i="7"/>
  <c r="G37" i="1"/>
  <c r="G32" i="1"/>
  <c r="G25" i="7"/>
  <c r="G16" i="1"/>
  <c r="G97" i="1"/>
  <c r="G94" i="1"/>
  <c r="G39" i="1"/>
  <c r="G100" i="7"/>
  <c r="G62" i="1"/>
  <c r="G57" i="7"/>
  <c r="G108" i="1"/>
  <c r="G83" i="1"/>
  <c r="G85" i="1"/>
  <c r="B87" i="14" s="1"/>
  <c r="G77" i="1"/>
  <c r="G65" i="1"/>
  <c r="B67" i="14" s="1"/>
  <c r="G54" i="1"/>
  <c r="G61" i="1"/>
  <c r="G99" i="1"/>
  <c r="G35" i="1"/>
  <c r="B37" i="14" s="1"/>
  <c r="G50" i="1"/>
  <c r="B52" i="14" s="1"/>
  <c r="G47" i="1"/>
  <c r="G69" i="7"/>
  <c r="G27" i="1"/>
  <c r="G106" i="1"/>
  <c r="G91" i="1"/>
  <c r="D32" i="10"/>
  <c r="V32" i="10" s="1"/>
  <c r="W32" i="10" s="1"/>
  <c r="G95" i="1"/>
  <c r="B97" i="14" s="1"/>
  <c r="G115" i="7"/>
  <c r="C41" i="18" s="1"/>
  <c r="G115" i="1"/>
  <c r="B117" i="14" s="1"/>
  <c r="G18" i="7"/>
  <c r="G18" i="1"/>
  <c r="G40" i="7"/>
  <c r="C26" i="18" s="1"/>
  <c r="G40" i="1"/>
  <c r="B42" i="14" s="1"/>
  <c r="G48" i="7"/>
  <c r="G48" i="1"/>
  <c r="G67" i="7"/>
  <c r="K26" i="18" s="1"/>
  <c r="G67" i="1"/>
  <c r="G7" i="7"/>
  <c r="G7" i="1"/>
  <c r="B9" i="14" s="1"/>
  <c r="G73" i="7"/>
  <c r="K28" i="18" s="1"/>
  <c r="G73" i="1"/>
  <c r="G101" i="7"/>
  <c r="G101" i="1"/>
  <c r="G89" i="7"/>
  <c r="G89" i="1"/>
  <c r="G70" i="7"/>
  <c r="G70" i="1"/>
  <c r="B72" i="14" s="1"/>
  <c r="G26" i="7"/>
  <c r="G26" i="1"/>
  <c r="G88" i="7"/>
  <c r="G88" i="1"/>
  <c r="G60" i="7"/>
  <c r="G60" i="1"/>
  <c r="B62" i="14" s="1"/>
  <c r="G55" i="7"/>
  <c r="G55" i="1"/>
  <c r="B57" i="14" s="1"/>
  <c r="G38" i="7"/>
  <c r="G38" i="1"/>
  <c r="G92" i="7"/>
  <c r="G92" i="1"/>
  <c r="G51" i="7"/>
  <c r="G51" i="1"/>
  <c r="G43" i="7"/>
  <c r="G43" i="1"/>
  <c r="G12" i="7"/>
  <c r="G12" i="1"/>
  <c r="G112" i="7"/>
  <c r="G112" i="1"/>
  <c r="G98" i="7"/>
  <c r="G98" i="1"/>
  <c r="G86" i="7"/>
  <c r="G86" i="1"/>
  <c r="G22" i="7"/>
  <c r="G22" i="1"/>
  <c r="G24" i="7"/>
  <c r="G24" i="1"/>
  <c r="G44" i="7"/>
  <c r="G44" i="1"/>
  <c r="G53" i="7"/>
  <c r="G53" i="1"/>
  <c r="G56" i="7"/>
  <c r="G56" i="1"/>
  <c r="G74" i="7"/>
  <c r="G74" i="1"/>
  <c r="G49" i="7"/>
  <c r="G49" i="1"/>
  <c r="G33" i="7"/>
  <c r="G33" i="1"/>
  <c r="G109" i="7"/>
  <c r="G109" i="1"/>
  <c r="G64" i="7"/>
  <c r="G64" i="1"/>
  <c r="G34" i="7"/>
  <c r="B36" i="17" s="1"/>
  <c r="G34" i="1"/>
  <c r="G76" i="7"/>
  <c r="G76" i="1"/>
  <c r="G71" i="7"/>
  <c r="G71" i="1"/>
  <c r="G42" i="7"/>
  <c r="G42" i="1"/>
  <c r="G58" i="7"/>
  <c r="G58" i="1"/>
  <c r="G20" i="7"/>
  <c r="C22" i="18" s="1"/>
  <c r="G20" i="1"/>
  <c r="B22" i="14" s="1"/>
  <c r="G80" i="7"/>
  <c r="G80" i="1"/>
  <c r="B82" i="14" s="1"/>
  <c r="G105" i="7"/>
  <c r="C39" i="18" s="1"/>
  <c r="G105" i="1"/>
  <c r="B107" i="14" s="1"/>
  <c r="G111" i="7"/>
  <c r="G111" i="1"/>
  <c r="G114" i="7"/>
  <c r="G114" i="1"/>
  <c r="G52" i="7"/>
  <c r="G52" i="1"/>
  <c r="G113" i="7"/>
  <c r="G113" i="1"/>
  <c r="G72" i="7"/>
  <c r="G72" i="1"/>
  <c r="G11" i="7"/>
  <c r="G11" i="1"/>
  <c r="G29" i="7"/>
  <c r="G29" i="1"/>
  <c r="B31" i="14" s="1"/>
  <c r="G75" i="7"/>
  <c r="G75" i="1"/>
  <c r="B77" i="14" s="1"/>
  <c r="G82" i="7"/>
  <c r="G82" i="1"/>
  <c r="G36" i="7"/>
  <c r="G36" i="1"/>
  <c r="G41" i="7"/>
  <c r="G41" i="1"/>
  <c r="G19" i="7"/>
  <c r="G19" i="1"/>
  <c r="B21" i="14" s="1"/>
  <c r="G31" i="7"/>
  <c r="G31" i="1"/>
  <c r="G28" i="7"/>
  <c r="G28" i="1"/>
  <c r="G107" i="7"/>
  <c r="G107" i="1"/>
  <c r="G8" i="7"/>
  <c r="G8" i="1"/>
  <c r="B10" i="14" s="1"/>
  <c r="G110" i="7"/>
  <c r="C40" i="18" s="1"/>
  <c r="G110" i="1"/>
  <c r="B112" i="14" s="1"/>
  <c r="G102" i="7"/>
  <c r="G102" i="1"/>
  <c r="G63" i="7"/>
  <c r="G63" i="1"/>
  <c r="G96" i="7"/>
  <c r="G96" i="1"/>
  <c r="G5" i="1"/>
  <c r="B7" i="14" s="1"/>
  <c r="G5" i="7"/>
  <c r="G59" i="7"/>
  <c r="G59" i="1"/>
  <c r="G21" i="7"/>
  <c r="G21" i="1"/>
  <c r="G104" i="7"/>
  <c r="G104" i="1"/>
  <c r="G90" i="7"/>
  <c r="C36" i="18" s="1"/>
  <c r="G90" i="1"/>
  <c r="B92" i="14" s="1"/>
  <c r="G14" i="7"/>
  <c r="G14" i="1"/>
  <c r="B16" i="14" s="1"/>
  <c r="G93" i="7"/>
  <c r="G93" i="1"/>
  <c r="G13" i="7"/>
  <c r="G13" i="1"/>
  <c r="G30" i="7"/>
  <c r="G30" i="1"/>
  <c r="B32" i="14" s="1"/>
  <c r="G23" i="7"/>
  <c r="G23" i="1"/>
  <c r="G17" i="7"/>
  <c r="G17" i="1"/>
  <c r="G78" i="7"/>
  <c r="B80" i="17" s="1"/>
  <c r="G78" i="1"/>
  <c r="E7" i="4"/>
  <c r="E8" i="4" s="1"/>
  <c r="E9" i="4" s="1"/>
  <c r="E10" i="4" s="1"/>
  <c r="E11" i="4" s="1"/>
  <c r="E12" i="4" s="1"/>
  <c r="E13" i="4" s="1"/>
  <c r="E14" i="4" s="1"/>
  <c r="E15" i="4" s="1"/>
  <c r="E16" i="4" s="1"/>
  <c r="E17" i="4" s="1"/>
  <c r="E18" i="4" s="1"/>
  <c r="G140" i="1" l="1"/>
  <c r="C38" i="12"/>
  <c r="B102" i="17"/>
  <c r="C38" i="18"/>
  <c r="D82" i="10"/>
  <c r="V82" i="10" s="1"/>
  <c r="W82" i="10" s="1"/>
  <c r="K30" i="18"/>
  <c r="C35" i="18"/>
  <c r="D7" i="10"/>
  <c r="V7" i="10" s="1"/>
  <c r="W7" i="10" s="1"/>
  <c r="C20" i="18"/>
  <c r="B27" i="17"/>
  <c r="C23" i="18"/>
  <c r="C33" i="18"/>
  <c r="K29" i="18"/>
  <c r="B62" i="17"/>
  <c r="C30" i="18"/>
  <c r="B52" i="17"/>
  <c r="C28" i="18"/>
  <c r="B67" i="17"/>
  <c r="C31" i="18"/>
  <c r="K25" i="18"/>
  <c r="C27" i="18"/>
  <c r="K23" i="18"/>
  <c r="D92" i="10"/>
  <c r="V92" i="10" s="1"/>
  <c r="W92" i="10" s="1"/>
  <c r="K31" i="18"/>
  <c r="C37" i="18"/>
  <c r="C42" i="18"/>
  <c r="B82" i="17"/>
  <c r="C34" i="18"/>
  <c r="D12" i="10"/>
  <c r="V12" i="10" s="1"/>
  <c r="W12" i="10" s="1"/>
  <c r="K21" i="18"/>
  <c r="C21" i="18"/>
  <c r="B7" i="17"/>
  <c r="C19" i="18"/>
  <c r="B32" i="17"/>
  <c r="C24" i="18"/>
  <c r="K22" i="18"/>
  <c r="K24" i="18"/>
  <c r="C29" i="18"/>
  <c r="B72" i="17"/>
  <c r="K27" i="18"/>
  <c r="C32" i="18"/>
  <c r="G129" i="1"/>
  <c r="D158" i="10"/>
  <c r="V158" i="10" s="1"/>
  <c r="W158" i="10" s="1"/>
  <c r="C27" i="12"/>
  <c r="D138" i="10"/>
  <c r="V138" i="10" s="1"/>
  <c r="W138" i="10" s="1"/>
  <c r="C23" i="12"/>
  <c r="G125" i="1"/>
  <c r="D10" i="10"/>
  <c r="V10" i="10" s="1"/>
  <c r="W10" i="10" s="1"/>
  <c r="B15" i="17"/>
  <c r="D101" i="10"/>
  <c r="V101" i="10" s="1"/>
  <c r="W101" i="10" s="1"/>
  <c r="B106" i="17"/>
  <c r="D93" i="10"/>
  <c r="V93" i="10" s="1"/>
  <c r="W93" i="10" s="1"/>
  <c r="B98" i="17"/>
  <c r="D5" i="10"/>
  <c r="V5" i="10" s="1"/>
  <c r="W5" i="10" s="1"/>
  <c r="B10" i="17"/>
  <c r="D16" i="10"/>
  <c r="V16" i="10" s="1"/>
  <c r="W16" i="10" s="1"/>
  <c r="B21" i="17"/>
  <c r="B77" i="17"/>
  <c r="D110" i="10"/>
  <c r="V110" i="10" s="1"/>
  <c r="W110" i="10" s="1"/>
  <c r="B115" i="17"/>
  <c r="D102" i="10"/>
  <c r="V102" i="10" s="1"/>
  <c r="W102" i="10" s="1"/>
  <c r="B107" i="17"/>
  <c r="D39" i="10"/>
  <c r="V39" i="10" s="1"/>
  <c r="W39" i="10" s="1"/>
  <c r="B44" i="17"/>
  <c r="D61" i="10"/>
  <c r="V61" i="10" s="1"/>
  <c r="W61" i="10" s="1"/>
  <c r="B66" i="17"/>
  <c r="D71" i="10"/>
  <c r="V71" i="10" s="1"/>
  <c r="W71" i="10" s="1"/>
  <c r="B76" i="17"/>
  <c r="D21" i="10"/>
  <c r="V21" i="10" s="1"/>
  <c r="W21" i="10" s="1"/>
  <c r="B26" i="17"/>
  <c r="D109" i="10"/>
  <c r="V109" i="10" s="1"/>
  <c r="W109" i="10" s="1"/>
  <c r="B114" i="17"/>
  <c r="D89" i="10"/>
  <c r="V89" i="10" s="1"/>
  <c r="W89" i="10" s="1"/>
  <c r="B94" i="17"/>
  <c r="D85" i="10"/>
  <c r="V85" i="10" s="1"/>
  <c r="W85" i="10" s="1"/>
  <c r="B90" i="17"/>
  <c r="D98" i="10"/>
  <c r="V98" i="10" s="1"/>
  <c r="W98" i="10" s="1"/>
  <c r="B103" i="17"/>
  <c r="D45" i="10"/>
  <c r="V45" i="10" s="1"/>
  <c r="W45" i="10" s="1"/>
  <c r="B50" i="17"/>
  <c r="D62" i="10"/>
  <c r="V62" i="10" s="1"/>
  <c r="W62" i="10" s="1"/>
  <c r="B47" i="17"/>
  <c r="B12" i="17"/>
  <c r="D63" i="10"/>
  <c r="V63" i="10" s="1"/>
  <c r="W63" i="10" s="1"/>
  <c r="B68" i="17"/>
  <c r="D58" i="10"/>
  <c r="V58" i="10" s="1"/>
  <c r="W58" i="10" s="1"/>
  <c r="B63" i="17"/>
  <c r="D43" i="10"/>
  <c r="V43" i="10" s="1"/>
  <c r="W43" i="10" s="1"/>
  <c r="B48" i="17"/>
  <c r="D13" i="10"/>
  <c r="V13" i="10" s="1"/>
  <c r="W13" i="10" s="1"/>
  <c r="B18" i="17"/>
  <c r="D36" i="10"/>
  <c r="V36" i="10" s="1"/>
  <c r="W36" i="10" s="1"/>
  <c r="D59" i="10"/>
  <c r="V59" i="10" s="1"/>
  <c r="W59" i="10" s="1"/>
  <c r="B64" i="17"/>
  <c r="D34" i="10"/>
  <c r="V34" i="10" s="1"/>
  <c r="W34" i="10" s="1"/>
  <c r="B39" i="17"/>
  <c r="D44" i="10"/>
  <c r="V44" i="10" s="1"/>
  <c r="W44" i="10" s="1"/>
  <c r="B49" i="17"/>
  <c r="D96" i="10"/>
  <c r="V96" i="10" s="1"/>
  <c r="W96" i="10" s="1"/>
  <c r="B101" i="17"/>
  <c r="B87" i="17"/>
  <c r="B19" i="17"/>
  <c r="D90" i="10"/>
  <c r="V90" i="10" s="1"/>
  <c r="W90" i="10" s="1"/>
  <c r="B95" i="17"/>
  <c r="D18" i="10"/>
  <c r="V18" i="10" s="1"/>
  <c r="W18" i="10" s="1"/>
  <c r="B23" i="17"/>
  <c r="D60" i="10"/>
  <c r="V60" i="10" s="1"/>
  <c r="W60" i="10" s="1"/>
  <c r="B65" i="17"/>
  <c r="D104" i="10"/>
  <c r="V104" i="10" s="1"/>
  <c r="W104" i="10" s="1"/>
  <c r="B109" i="17"/>
  <c r="D38" i="10"/>
  <c r="V38" i="10" s="1"/>
  <c r="W38" i="10" s="1"/>
  <c r="B43" i="17"/>
  <c r="D26" i="10"/>
  <c r="V26" i="10" s="1"/>
  <c r="W26" i="10" s="1"/>
  <c r="B31" i="17"/>
  <c r="D49" i="10"/>
  <c r="V49" i="10" s="1"/>
  <c r="W49" i="10" s="1"/>
  <c r="B54" i="17"/>
  <c r="D68" i="10"/>
  <c r="V68" i="10" s="1"/>
  <c r="W68" i="10" s="1"/>
  <c r="B73" i="17"/>
  <c r="D106" i="10"/>
  <c r="V106" i="10" s="1"/>
  <c r="W106" i="10" s="1"/>
  <c r="B111" i="17"/>
  <c r="D53" i="10"/>
  <c r="V53" i="10" s="1"/>
  <c r="W53" i="10" s="1"/>
  <c r="B58" i="17"/>
  <c r="D19" i="10"/>
  <c r="V19" i="10" s="1"/>
  <c r="W19" i="10" s="1"/>
  <c r="B24" i="17"/>
  <c r="D9" i="10"/>
  <c r="V9" i="10" s="1"/>
  <c r="W9" i="10" s="1"/>
  <c r="B14" i="17"/>
  <c r="D35" i="10"/>
  <c r="V35" i="10" s="1"/>
  <c r="W35" i="10" s="1"/>
  <c r="B40" i="17"/>
  <c r="D23" i="10"/>
  <c r="V23" i="10" s="1"/>
  <c r="W23" i="10" s="1"/>
  <c r="B28" i="17"/>
  <c r="D70" i="10"/>
  <c r="V70" i="10" s="1"/>
  <c r="W70" i="10" s="1"/>
  <c r="B75" i="17"/>
  <c r="B42" i="17"/>
  <c r="D122" i="10"/>
  <c r="V122" i="10" s="1"/>
  <c r="W122" i="10" s="1"/>
  <c r="D213" i="10"/>
  <c r="V213" i="10" s="1"/>
  <c r="W213" i="10" s="1"/>
  <c r="D29" i="10"/>
  <c r="V29" i="10" s="1"/>
  <c r="W29" i="10" s="1"/>
  <c r="B34" i="17"/>
  <c r="D105" i="10"/>
  <c r="V105" i="10" s="1"/>
  <c r="W105" i="10" s="1"/>
  <c r="B110" i="17"/>
  <c r="D94" i="10"/>
  <c r="V94" i="10" s="1"/>
  <c r="W94" i="10" s="1"/>
  <c r="B99" i="17"/>
  <c r="B37" i="17"/>
  <c r="D6" i="10"/>
  <c r="V6" i="10" s="1"/>
  <c r="W6" i="10" s="1"/>
  <c r="B11" i="17"/>
  <c r="D24" i="10"/>
  <c r="V24" i="10" s="1"/>
  <c r="W24" i="10" s="1"/>
  <c r="B29" i="17"/>
  <c r="D20" i="10"/>
  <c r="V20" i="10" s="1"/>
  <c r="W20" i="10" s="1"/>
  <c r="B25" i="17"/>
  <c r="D11" i="10"/>
  <c r="B16" i="17"/>
  <c r="D56" i="10"/>
  <c r="V56" i="10" s="1"/>
  <c r="W56" i="10" s="1"/>
  <c r="B61" i="17"/>
  <c r="D99" i="10"/>
  <c r="V99" i="10" s="1"/>
  <c r="W99" i="10" s="1"/>
  <c r="B104" i="17"/>
  <c r="D25" i="10"/>
  <c r="V25" i="10" s="1"/>
  <c r="W25" i="10" s="1"/>
  <c r="B30" i="17"/>
  <c r="D33" i="10"/>
  <c r="B38" i="17"/>
  <c r="D8" i="10"/>
  <c r="V8" i="10" s="1"/>
  <c r="W8" i="10" s="1"/>
  <c r="B13" i="17"/>
  <c r="D111" i="10"/>
  <c r="V111" i="10" s="1"/>
  <c r="W111" i="10" s="1"/>
  <c r="B116" i="17"/>
  <c r="B22" i="17"/>
  <c r="D73" i="10"/>
  <c r="V73" i="10" s="1"/>
  <c r="W73" i="10" s="1"/>
  <c r="B78" i="17"/>
  <c r="D30" i="10"/>
  <c r="V30" i="10" s="1"/>
  <c r="W30" i="10" s="1"/>
  <c r="B35" i="17"/>
  <c r="D50" i="10"/>
  <c r="V50" i="10" s="1"/>
  <c r="W50" i="10" s="1"/>
  <c r="B55" i="17"/>
  <c r="D83" i="10"/>
  <c r="V83" i="10" s="1"/>
  <c r="W83" i="10" s="1"/>
  <c r="B88" i="17"/>
  <c r="D40" i="10"/>
  <c r="V40" i="10" s="1"/>
  <c r="W40" i="10" s="1"/>
  <c r="B45" i="17"/>
  <c r="B57" i="17"/>
  <c r="D4" i="10"/>
  <c r="V4" i="10" s="1"/>
  <c r="W4" i="10" s="1"/>
  <c r="B9" i="17"/>
  <c r="D15" i="10"/>
  <c r="V15" i="10" s="1"/>
  <c r="W15" i="10" s="1"/>
  <c r="B20" i="17"/>
  <c r="D78" i="10"/>
  <c r="V78" i="10" s="1"/>
  <c r="W78" i="10" s="1"/>
  <c r="B83" i="17"/>
  <c r="D91" i="10"/>
  <c r="V91" i="10" s="1"/>
  <c r="W91" i="10" s="1"/>
  <c r="B96" i="17"/>
  <c r="B97" i="17"/>
  <c r="D51" i="10"/>
  <c r="V51" i="10" s="1"/>
  <c r="W51" i="10" s="1"/>
  <c r="B56" i="17"/>
  <c r="D54" i="10"/>
  <c r="V54" i="10" s="1"/>
  <c r="W54" i="10" s="1"/>
  <c r="B59" i="17"/>
  <c r="D65" i="10"/>
  <c r="V65" i="10" s="1"/>
  <c r="W65" i="10" s="1"/>
  <c r="B70" i="17"/>
  <c r="D74" i="10"/>
  <c r="V74" i="10" s="1"/>
  <c r="W74" i="10" s="1"/>
  <c r="B79" i="17"/>
  <c r="B17" i="17"/>
  <c r="D88" i="10"/>
  <c r="V88" i="10" s="1"/>
  <c r="W88" i="10" s="1"/>
  <c r="B93" i="17"/>
  <c r="B92" i="17"/>
  <c r="D107" i="10"/>
  <c r="V107" i="10" s="1"/>
  <c r="W107" i="10" s="1"/>
  <c r="B112" i="17"/>
  <c r="D28" i="10"/>
  <c r="B33" i="17"/>
  <c r="D79" i="10"/>
  <c r="V79" i="10" s="1"/>
  <c r="W79" i="10" s="1"/>
  <c r="B84" i="17"/>
  <c r="D69" i="10"/>
  <c r="V69" i="10" s="1"/>
  <c r="W69" i="10" s="1"/>
  <c r="B74" i="17"/>
  <c r="D108" i="10"/>
  <c r="V108" i="10" s="1"/>
  <c r="W108" i="10" s="1"/>
  <c r="B113" i="17"/>
  <c r="D55" i="10"/>
  <c r="V55" i="10" s="1"/>
  <c r="W55" i="10" s="1"/>
  <c r="B60" i="17"/>
  <c r="D46" i="10"/>
  <c r="V46" i="10" s="1"/>
  <c r="W46" i="10" s="1"/>
  <c r="B51" i="17"/>
  <c r="D41" i="10"/>
  <c r="V41" i="10" s="1"/>
  <c r="W41" i="10" s="1"/>
  <c r="B46" i="17"/>
  <c r="D95" i="10"/>
  <c r="V95" i="10" s="1"/>
  <c r="W95" i="10" s="1"/>
  <c r="B100" i="17"/>
  <c r="D48" i="10"/>
  <c r="V48" i="10" s="1"/>
  <c r="W48" i="10" s="1"/>
  <c r="B53" i="17"/>
  <c r="D86" i="10"/>
  <c r="V86" i="10" s="1"/>
  <c r="W86" i="10" s="1"/>
  <c r="B91" i="17"/>
  <c r="D64" i="10"/>
  <c r="V64" i="10" s="1"/>
  <c r="W64" i="10" s="1"/>
  <c r="B69" i="17"/>
  <c r="D112" i="10"/>
  <c r="V112" i="10" s="1"/>
  <c r="W112" i="10" s="1"/>
  <c r="B117" i="17"/>
  <c r="D66" i="10"/>
  <c r="V66" i="10" s="1"/>
  <c r="W66" i="10" s="1"/>
  <c r="B71" i="17"/>
  <c r="D81" i="10"/>
  <c r="V81" i="10" s="1"/>
  <c r="W81" i="10" s="1"/>
  <c r="B86" i="17"/>
  <c r="D47" i="10"/>
  <c r="V47" i="10" s="1"/>
  <c r="W47" i="10" s="1"/>
  <c r="D103" i="10"/>
  <c r="V103" i="10" s="1"/>
  <c r="W103" i="10" s="1"/>
  <c r="B108" i="17"/>
  <c r="D3" i="10"/>
  <c r="V3" i="10" s="1"/>
  <c r="W3" i="10" s="1"/>
  <c r="B8" i="17"/>
  <c r="D80" i="10"/>
  <c r="V80" i="10" s="1"/>
  <c r="W80" i="10" s="1"/>
  <c r="B85" i="17"/>
  <c r="D76" i="10"/>
  <c r="V76" i="10" s="1"/>
  <c r="W76" i="10" s="1"/>
  <c r="B81" i="17"/>
  <c r="D204" i="10"/>
  <c r="V204" i="10" s="1"/>
  <c r="W204" i="10" s="1"/>
  <c r="B93" i="14"/>
  <c r="D212" i="10"/>
  <c r="V212" i="10" s="1"/>
  <c r="W212" i="10" s="1"/>
  <c r="B101" i="14"/>
  <c r="D196" i="10"/>
  <c r="V196" i="10" s="1"/>
  <c r="W196" i="10" s="1"/>
  <c r="B85" i="14"/>
  <c r="D192" i="10"/>
  <c r="V192" i="10" s="1"/>
  <c r="W192" i="10" s="1"/>
  <c r="B81" i="14"/>
  <c r="D136" i="10"/>
  <c r="V136" i="10" s="1"/>
  <c r="W136" i="10" s="1"/>
  <c r="B25" i="14"/>
  <c r="D172" i="10"/>
  <c r="V172" i="10" s="1"/>
  <c r="W172" i="10" s="1"/>
  <c r="B61" i="14"/>
  <c r="D215" i="10"/>
  <c r="V215" i="10" s="1"/>
  <c r="W215" i="10" s="1"/>
  <c r="B104" i="14"/>
  <c r="D141" i="10"/>
  <c r="V141" i="10" s="1"/>
  <c r="W141" i="10" s="1"/>
  <c r="B30" i="14"/>
  <c r="D149" i="10"/>
  <c r="V149" i="10" s="1"/>
  <c r="W149" i="10" s="1"/>
  <c r="B38" i="14"/>
  <c r="D124" i="10"/>
  <c r="V124" i="10" s="1"/>
  <c r="W124" i="10" s="1"/>
  <c r="B13" i="14"/>
  <c r="D227" i="10"/>
  <c r="V227" i="10" s="1"/>
  <c r="W227" i="10" s="1"/>
  <c r="B116" i="14"/>
  <c r="D189" i="10"/>
  <c r="V189" i="10" s="1"/>
  <c r="W189" i="10" s="1"/>
  <c r="B78" i="14"/>
  <c r="D146" i="10"/>
  <c r="V146" i="10" s="1"/>
  <c r="W146" i="10" s="1"/>
  <c r="B35" i="14"/>
  <c r="D166" i="10"/>
  <c r="V166" i="10" s="1"/>
  <c r="W166" i="10" s="1"/>
  <c r="B55" i="14"/>
  <c r="D199" i="10"/>
  <c r="V199" i="10" s="1"/>
  <c r="W199" i="10" s="1"/>
  <c r="B88" i="14"/>
  <c r="D156" i="10"/>
  <c r="V156" i="10" s="1"/>
  <c r="W156" i="10" s="1"/>
  <c r="B45" i="14"/>
  <c r="D131" i="10"/>
  <c r="V131" i="10" s="1"/>
  <c r="W131" i="10" s="1"/>
  <c r="B20" i="14"/>
  <c r="D219" i="10"/>
  <c r="V219" i="10" s="1"/>
  <c r="W219" i="10" s="1"/>
  <c r="B108" i="14"/>
  <c r="D221" i="10"/>
  <c r="V221" i="10" s="1"/>
  <c r="W221" i="10" s="1"/>
  <c r="B110" i="14"/>
  <c r="D210" i="10"/>
  <c r="V210" i="10" s="1"/>
  <c r="W210" i="10" s="1"/>
  <c r="B99" i="14"/>
  <c r="D179" i="10"/>
  <c r="V179" i="10" s="1"/>
  <c r="W179" i="10" s="1"/>
  <c r="B68" i="14"/>
  <c r="D194" i="10"/>
  <c r="V194" i="10" s="1"/>
  <c r="W194" i="10" s="1"/>
  <c r="B83" i="14"/>
  <c r="D197" i="10"/>
  <c r="V197" i="10" s="1"/>
  <c r="W197" i="10" s="1"/>
  <c r="B86" i="14"/>
  <c r="D174" i="10"/>
  <c r="V174" i="10" s="1"/>
  <c r="W174" i="10" s="1"/>
  <c r="B63" i="14"/>
  <c r="D129" i="10"/>
  <c r="V129" i="10" s="1"/>
  <c r="W129" i="10" s="1"/>
  <c r="B18" i="14"/>
  <c r="G121" i="7"/>
  <c r="D144" i="10"/>
  <c r="V144" i="10" s="1"/>
  <c r="W144" i="10" s="1"/>
  <c r="B33" i="14"/>
  <c r="D195" i="10"/>
  <c r="V195" i="10" s="1"/>
  <c r="W195" i="10" s="1"/>
  <c r="B84" i="14"/>
  <c r="D185" i="10"/>
  <c r="V185" i="10" s="1"/>
  <c r="W185" i="10" s="1"/>
  <c r="B74" i="14"/>
  <c r="D224" i="10"/>
  <c r="V224" i="10" s="1"/>
  <c r="W224" i="10" s="1"/>
  <c r="B113" i="14"/>
  <c r="D171" i="10"/>
  <c r="V171" i="10" s="1"/>
  <c r="W171" i="10" s="1"/>
  <c r="B60" i="14"/>
  <c r="D147" i="10"/>
  <c r="V147" i="10" s="1"/>
  <c r="W147" i="10" s="1"/>
  <c r="B36" i="14"/>
  <c r="D162" i="10"/>
  <c r="V162" i="10" s="1"/>
  <c r="W162" i="10" s="1"/>
  <c r="B51" i="14"/>
  <c r="D157" i="10"/>
  <c r="V157" i="10" s="1"/>
  <c r="W157" i="10" s="1"/>
  <c r="B46" i="14"/>
  <c r="D211" i="10"/>
  <c r="V211" i="10" s="1"/>
  <c r="W211" i="10" s="1"/>
  <c r="B100" i="14"/>
  <c r="D164" i="10"/>
  <c r="V164" i="10" s="1"/>
  <c r="W164" i="10" s="1"/>
  <c r="B53" i="14"/>
  <c r="D202" i="10"/>
  <c r="V202" i="10" s="1"/>
  <c r="W202" i="10" s="1"/>
  <c r="B91" i="14"/>
  <c r="D180" i="10"/>
  <c r="V180" i="10" s="1"/>
  <c r="W180" i="10" s="1"/>
  <c r="B69" i="14"/>
  <c r="D140" i="10"/>
  <c r="V140" i="10" s="1"/>
  <c r="W140" i="10" s="1"/>
  <c r="B29" i="14"/>
  <c r="D167" i="10"/>
  <c r="V167" i="10" s="1"/>
  <c r="W167" i="10" s="1"/>
  <c r="B56" i="14"/>
  <c r="D159" i="10"/>
  <c r="V159" i="10" s="1"/>
  <c r="W159" i="10" s="1"/>
  <c r="B48" i="14"/>
  <c r="D181" i="10"/>
  <c r="V181" i="10" s="1"/>
  <c r="W181" i="10" s="1"/>
  <c r="B70" i="14"/>
  <c r="D182" i="10"/>
  <c r="V182" i="10" s="1"/>
  <c r="W182" i="10" s="1"/>
  <c r="B71" i="14"/>
  <c r="D175" i="10"/>
  <c r="V175" i="10" s="1"/>
  <c r="W175" i="10" s="1"/>
  <c r="B64" i="14"/>
  <c r="D145" i="10"/>
  <c r="V145" i="10" s="1"/>
  <c r="W145" i="10" s="1"/>
  <c r="B34" i="14"/>
  <c r="D191" i="10"/>
  <c r="V191" i="10" s="1"/>
  <c r="W191" i="10" s="1"/>
  <c r="B80" i="14"/>
  <c r="D126" i="10"/>
  <c r="V126" i="10" s="1"/>
  <c r="W126" i="10" s="1"/>
  <c r="B15" i="14"/>
  <c r="D217" i="10"/>
  <c r="V217" i="10" s="1"/>
  <c r="W217" i="10" s="1"/>
  <c r="B106" i="14"/>
  <c r="D209" i="10"/>
  <c r="V209" i="10" s="1"/>
  <c r="W209" i="10" s="1"/>
  <c r="B98" i="14"/>
  <c r="D226" i="10"/>
  <c r="V226" i="10" s="1"/>
  <c r="W226" i="10" s="1"/>
  <c r="B115" i="14"/>
  <c r="D155" i="10"/>
  <c r="V155" i="10" s="1"/>
  <c r="W155" i="10" s="1"/>
  <c r="B44" i="14"/>
  <c r="D177" i="10"/>
  <c r="V177" i="10" s="1"/>
  <c r="W177" i="10" s="1"/>
  <c r="B66" i="14"/>
  <c r="D187" i="10"/>
  <c r="V187" i="10" s="1"/>
  <c r="W187" i="10" s="1"/>
  <c r="B76" i="14"/>
  <c r="D137" i="10"/>
  <c r="V137" i="10" s="1"/>
  <c r="W137" i="10" s="1"/>
  <c r="B26" i="14"/>
  <c r="D225" i="10"/>
  <c r="V225" i="10" s="1"/>
  <c r="W225" i="10" s="1"/>
  <c r="B114" i="14"/>
  <c r="D205" i="10"/>
  <c r="V205" i="10" s="1"/>
  <c r="W205" i="10" s="1"/>
  <c r="B94" i="14"/>
  <c r="D201" i="10"/>
  <c r="V201" i="10" s="1"/>
  <c r="W201" i="10" s="1"/>
  <c r="B90" i="14"/>
  <c r="D214" i="10"/>
  <c r="V214" i="10" s="1"/>
  <c r="W214" i="10" s="1"/>
  <c r="B103" i="14"/>
  <c r="D161" i="10"/>
  <c r="V161" i="10" s="1"/>
  <c r="W161" i="10" s="1"/>
  <c r="B50" i="14"/>
  <c r="D160" i="10"/>
  <c r="V160" i="10" s="1"/>
  <c r="W160" i="10" s="1"/>
  <c r="B49" i="14"/>
  <c r="D190" i="10"/>
  <c r="V190" i="10" s="1"/>
  <c r="W190" i="10" s="1"/>
  <c r="B79" i="14"/>
  <c r="D150" i="10"/>
  <c r="V150" i="10" s="1"/>
  <c r="W150" i="10" s="1"/>
  <c r="B39" i="14"/>
  <c r="D152" i="10"/>
  <c r="V152" i="10" s="1"/>
  <c r="W152" i="10" s="1"/>
  <c r="B41" i="14"/>
  <c r="D119" i="10"/>
  <c r="V119" i="10" s="1"/>
  <c r="W119" i="10" s="1"/>
  <c r="B8" i="14"/>
  <c r="D130" i="10"/>
  <c r="V130" i="10" s="1"/>
  <c r="W130" i="10" s="1"/>
  <c r="B19" i="14"/>
  <c r="D206" i="10"/>
  <c r="V206" i="10" s="1"/>
  <c r="W206" i="10" s="1"/>
  <c r="B95" i="14"/>
  <c r="D134" i="10"/>
  <c r="V134" i="10" s="1"/>
  <c r="W134" i="10" s="1"/>
  <c r="B23" i="14"/>
  <c r="D176" i="10"/>
  <c r="V176" i="10" s="1"/>
  <c r="W176" i="10" s="1"/>
  <c r="B65" i="14"/>
  <c r="D220" i="10"/>
  <c r="V220" i="10" s="1"/>
  <c r="W220" i="10" s="1"/>
  <c r="B109" i="14"/>
  <c r="D154" i="10"/>
  <c r="V154" i="10" s="1"/>
  <c r="W154" i="10" s="1"/>
  <c r="B43" i="14"/>
  <c r="D165" i="10"/>
  <c r="V165" i="10" s="1"/>
  <c r="W165" i="10" s="1"/>
  <c r="B54" i="14"/>
  <c r="D184" i="10"/>
  <c r="V184" i="10" s="1"/>
  <c r="W184" i="10" s="1"/>
  <c r="B73" i="14"/>
  <c r="D222" i="10"/>
  <c r="V222" i="10" s="1"/>
  <c r="W222" i="10" s="1"/>
  <c r="B111" i="14"/>
  <c r="D169" i="10"/>
  <c r="V169" i="10" s="1"/>
  <c r="W169" i="10" s="1"/>
  <c r="B58" i="14"/>
  <c r="D135" i="10"/>
  <c r="V135" i="10" s="1"/>
  <c r="W135" i="10" s="1"/>
  <c r="B24" i="14"/>
  <c r="D125" i="10"/>
  <c r="V125" i="10" s="1"/>
  <c r="W125" i="10" s="1"/>
  <c r="B14" i="14"/>
  <c r="D151" i="10"/>
  <c r="V151" i="10" s="1"/>
  <c r="W151" i="10" s="1"/>
  <c r="B40" i="14"/>
  <c r="D139" i="10"/>
  <c r="V139" i="10" s="1"/>
  <c r="W139" i="10" s="1"/>
  <c r="B28" i="14"/>
  <c r="D186" i="10"/>
  <c r="V186" i="10" s="1"/>
  <c r="W186" i="10" s="1"/>
  <c r="B75" i="14"/>
  <c r="D207" i="10"/>
  <c r="V207" i="10" s="1"/>
  <c r="W207" i="10" s="1"/>
  <c r="B96" i="14"/>
  <c r="D170" i="10"/>
  <c r="V170" i="10" s="1"/>
  <c r="W170" i="10" s="1"/>
  <c r="B59" i="14"/>
  <c r="D67" i="10"/>
  <c r="V67" i="10" s="1"/>
  <c r="W67" i="10" s="1"/>
  <c r="D27" i="10"/>
  <c r="V27" i="10" s="1"/>
  <c r="W27" i="10" s="1"/>
  <c r="D57" i="10"/>
  <c r="V57" i="10" s="1"/>
  <c r="W57" i="10" s="1"/>
  <c r="D42" i="10"/>
  <c r="V42" i="10" s="1"/>
  <c r="W42" i="10" s="1"/>
  <c r="D77" i="10"/>
  <c r="V77" i="10" s="1"/>
  <c r="W77" i="10" s="1"/>
  <c r="C34" i="12"/>
  <c r="C35" i="12"/>
  <c r="C36" i="12"/>
  <c r="C40" i="12"/>
  <c r="C41" i="12"/>
  <c r="C39" i="12"/>
  <c r="C37" i="12"/>
  <c r="D118" i="10"/>
  <c r="V118" i="10" s="1"/>
  <c r="W118" i="10" s="1"/>
  <c r="C19" i="12"/>
  <c r="C31" i="12"/>
  <c r="C21" i="12"/>
  <c r="C28" i="12"/>
  <c r="C26" i="12"/>
  <c r="C25" i="12"/>
  <c r="C20" i="12"/>
  <c r="C33" i="12"/>
  <c r="C42" i="12"/>
  <c r="C22" i="12"/>
  <c r="C29" i="12"/>
  <c r="C32" i="12"/>
  <c r="C24" i="12"/>
  <c r="C30" i="12"/>
  <c r="D14" i="10"/>
  <c r="V14" i="10" s="1"/>
  <c r="W14" i="10" s="1"/>
  <c r="D22" i="10"/>
  <c r="V22" i="10" s="1"/>
  <c r="W22" i="10" s="1"/>
  <c r="D75" i="10"/>
  <c r="V75" i="10" s="1"/>
  <c r="W75" i="10" s="1"/>
  <c r="G139" i="1"/>
  <c r="G141" i="7"/>
  <c r="D132" i="10"/>
  <c r="V132" i="10" s="1"/>
  <c r="W132" i="10" s="1"/>
  <c r="D142" i="10"/>
  <c r="V142" i="10" s="1"/>
  <c r="W142" i="10" s="1"/>
  <c r="D121" i="10"/>
  <c r="V121" i="10" s="1"/>
  <c r="W121" i="10" s="1"/>
  <c r="D120" i="10"/>
  <c r="D127" i="10"/>
  <c r="V127" i="10" s="1"/>
  <c r="W127" i="10" s="1"/>
  <c r="D223" i="10"/>
  <c r="V223" i="10" s="1"/>
  <c r="W223" i="10" s="1"/>
  <c r="G142" i="1"/>
  <c r="D188" i="10"/>
  <c r="V188" i="10" s="1"/>
  <c r="W188" i="10" s="1"/>
  <c r="G135" i="1"/>
  <c r="D218" i="10"/>
  <c r="V218" i="10" s="1"/>
  <c r="W218" i="10" s="1"/>
  <c r="G141" i="1"/>
  <c r="D123" i="10"/>
  <c r="V123" i="10" s="1"/>
  <c r="W123" i="10" s="1"/>
  <c r="G122" i="1"/>
  <c r="D193" i="10"/>
  <c r="V193" i="10" s="1"/>
  <c r="W193" i="10" s="1"/>
  <c r="G136" i="1"/>
  <c r="D153" i="10"/>
  <c r="V153" i="10" s="1"/>
  <c r="W153" i="10" s="1"/>
  <c r="G128" i="1"/>
  <c r="D178" i="10"/>
  <c r="V178" i="10" s="1"/>
  <c r="W178" i="10" s="1"/>
  <c r="G133" i="1"/>
  <c r="D203" i="10"/>
  <c r="V203" i="10" s="1"/>
  <c r="W203" i="10" s="1"/>
  <c r="G138" i="1"/>
  <c r="D133" i="10"/>
  <c r="V133" i="10" s="1"/>
  <c r="W133" i="10" s="1"/>
  <c r="G124" i="1"/>
  <c r="D143" i="10"/>
  <c r="V143" i="10" s="1"/>
  <c r="W143" i="10" s="1"/>
  <c r="G126" i="1"/>
  <c r="D168" i="10"/>
  <c r="V168" i="10" s="1"/>
  <c r="W168" i="10" s="1"/>
  <c r="G131" i="1"/>
  <c r="D183" i="10"/>
  <c r="V183" i="10" s="1"/>
  <c r="W183" i="10" s="1"/>
  <c r="G134" i="1"/>
  <c r="D163" i="10"/>
  <c r="V163" i="10" s="1"/>
  <c r="W163" i="10" s="1"/>
  <c r="G130" i="1"/>
  <c r="D148" i="10"/>
  <c r="V148" i="10" s="1"/>
  <c r="W148" i="10" s="1"/>
  <c r="G127" i="1"/>
  <c r="D173" i="10"/>
  <c r="V173" i="10" s="1"/>
  <c r="W173" i="10" s="1"/>
  <c r="G132" i="1"/>
  <c r="D228" i="10"/>
  <c r="V228" i="10" s="1"/>
  <c r="W228" i="10" s="1"/>
  <c r="G143" i="1"/>
  <c r="D198" i="10"/>
  <c r="V198" i="10" s="1"/>
  <c r="W198" i="10" s="1"/>
  <c r="G137" i="1"/>
  <c r="D128" i="10"/>
  <c r="V128" i="10" s="1"/>
  <c r="W128" i="10" s="1"/>
  <c r="G123" i="1"/>
  <c r="D208" i="10"/>
  <c r="V208" i="10" s="1"/>
  <c r="W208" i="10" s="1"/>
  <c r="D97" i="10"/>
  <c r="V97" i="10" s="1"/>
  <c r="W97" i="10" s="1"/>
  <c r="G140" i="7"/>
  <c r="D37" i="10"/>
  <c r="V37" i="10" s="1"/>
  <c r="W37" i="10" s="1"/>
  <c r="G143" i="7"/>
  <c r="D52" i="10"/>
  <c r="V52" i="10" s="1"/>
  <c r="W52" i="10" s="1"/>
  <c r="D31" i="10"/>
  <c r="V31" i="10" s="1"/>
  <c r="W31" i="10" s="1"/>
  <c r="G142" i="7"/>
  <c r="D2" i="10"/>
  <c r="D87" i="10"/>
  <c r="V87" i="10" s="1"/>
  <c r="W87" i="10" s="1"/>
  <c r="D17" i="10"/>
  <c r="D72" i="10"/>
  <c r="V72" i="10" s="1"/>
  <c r="W72" i="10" s="1"/>
  <c r="V11" i="10"/>
  <c r="W11" i="10" s="1"/>
  <c r="V33" i="10"/>
  <c r="W33" i="10" s="1"/>
  <c r="V28" i="10"/>
  <c r="W28" i="10" s="1"/>
  <c r="AA4" i="1"/>
  <c r="K2" i="10" l="1"/>
  <c r="V120" i="10"/>
  <c r="W120" i="10" s="1"/>
  <c r="V2" i="10"/>
  <c r="W2" i="10" s="1"/>
  <c r="V17" i="10"/>
  <c r="W17" i="10" s="1"/>
  <c r="K3" i="10" l="1"/>
  <c r="P5" i="1"/>
  <c r="F5" i="1" s="1"/>
  <c r="D7" i="14" s="1"/>
  <c r="J118" i="10"/>
  <c r="K118" i="10"/>
  <c r="P5" i="7" s="1"/>
  <c r="F5" i="7" s="1"/>
  <c r="E19" i="18" s="1"/>
  <c r="A38" i="4"/>
  <c r="E19" i="12" l="1"/>
  <c r="D7" i="17"/>
  <c r="P6" i="1"/>
  <c r="J119" i="10"/>
  <c r="A41" i="4"/>
  <c r="G41" i="4" s="1"/>
  <c r="A45" i="4"/>
  <c r="N45" i="4" s="1"/>
  <c r="A44" i="4"/>
  <c r="A48" i="4"/>
  <c r="Q48" i="4" s="1"/>
  <c r="A46" i="4"/>
  <c r="G46" i="4" s="1"/>
  <c r="A40" i="4"/>
  <c r="A52" i="4"/>
  <c r="H52" i="4" s="1"/>
  <c r="A49" i="4"/>
  <c r="L49" i="4" s="1"/>
  <c r="A51" i="4"/>
  <c r="J51" i="4" s="1"/>
  <c r="A42" i="4"/>
  <c r="E42" i="4" s="1"/>
  <c r="A43" i="4"/>
  <c r="M43" i="4" s="1"/>
  <c r="A82" i="4"/>
  <c r="A66" i="4"/>
  <c r="A53" i="4"/>
  <c r="A101" i="4"/>
  <c r="A125" i="4"/>
  <c r="A124" i="4"/>
  <c r="A120" i="4"/>
  <c r="A83" i="4"/>
  <c r="A55" i="4"/>
  <c r="A68" i="4"/>
  <c r="A110" i="4"/>
  <c r="A57" i="4"/>
  <c r="A71" i="4"/>
  <c r="A84" i="4"/>
  <c r="A135" i="4"/>
  <c r="A123" i="4"/>
  <c r="A116" i="4"/>
  <c r="A111" i="4"/>
  <c r="A81" i="4"/>
  <c r="A90" i="4"/>
  <c r="A119" i="4"/>
  <c r="A95" i="4"/>
  <c r="A127" i="4"/>
  <c r="A106" i="4"/>
  <c r="A79" i="4"/>
  <c r="A105" i="4"/>
  <c r="A96" i="4"/>
  <c r="A130" i="4"/>
  <c r="A93" i="4"/>
  <c r="A107" i="4"/>
  <c r="A73" i="4"/>
  <c r="A98" i="4"/>
  <c r="A97" i="4"/>
  <c r="A76" i="4"/>
  <c r="A64" i="4"/>
  <c r="A134" i="4"/>
  <c r="A74" i="4"/>
  <c r="A102" i="4"/>
  <c r="A89" i="4"/>
  <c r="A133" i="4"/>
  <c r="A87" i="4"/>
  <c r="A78" i="4"/>
  <c r="A62" i="4"/>
  <c r="A104" i="4"/>
  <c r="A114" i="4"/>
  <c r="A118" i="4"/>
  <c r="A67" i="4"/>
  <c r="A54" i="4"/>
  <c r="A59" i="4"/>
  <c r="A99" i="4"/>
  <c r="A103" i="4"/>
  <c r="A94" i="4"/>
  <c r="A132" i="4"/>
  <c r="A72" i="4"/>
  <c r="A112" i="4"/>
  <c r="A137" i="4"/>
  <c r="A117" i="4"/>
  <c r="A109" i="4"/>
  <c r="A61" i="4"/>
  <c r="A121" i="4"/>
  <c r="A65" i="4"/>
  <c r="A56" i="4"/>
  <c r="A77" i="4"/>
  <c r="A69" i="4"/>
  <c r="A131" i="4"/>
  <c r="A129" i="4"/>
  <c r="A115" i="4"/>
  <c r="A91" i="4"/>
  <c r="A108" i="4"/>
  <c r="A100" i="4"/>
  <c r="A138" i="4"/>
  <c r="A126" i="4"/>
  <c r="A113" i="4"/>
  <c r="A88" i="4"/>
  <c r="A139" i="4"/>
  <c r="A70" i="4"/>
  <c r="A86" i="4"/>
  <c r="A122" i="4"/>
  <c r="A140" i="4"/>
  <c r="A136" i="4"/>
  <c r="A63" i="4"/>
  <c r="A75" i="4"/>
  <c r="A58" i="4"/>
  <c r="A128" i="4"/>
  <c r="A60" i="4"/>
  <c r="A92" i="4"/>
  <c r="A80" i="4"/>
  <c r="A85" i="4"/>
  <c r="A39" i="4"/>
  <c r="A47" i="4"/>
  <c r="B38" i="4"/>
  <c r="Q38" i="4"/>
  <c r="G38" i="4"/>
  <c r="O38" i="4"/>
  <c r="I38" i="4"/>
  <c r="E38" i="4"/>
  <c r="L38" i="4"/>
  <c r="P38" i="4"/>
  <c r="D38" i="4"/>
  <c r="K38" i="4"/>
  <c r="C38" i="4"/>
  <c r="H38" i="4"/>
  <c r="F38" i="4"/>
  <c r="N38" i="4"/>
  <c r="M38" i="4"/>
  <c r="J38" i="4"/>
  <c r="A50" i="4"/>
  <c r="K119" i="10" l="1"/>
  <c r="P6" i="7" s="1"/>
  <c r="L44" i="4"/>
  <c r="G40" i="4"/>
  <c r="F45" i="4"/>
  <c r="F41" i="4"/>
  <c r="C41" i="4"/>
  <c r="D41" i="4"/>
  <c r="O41" i="4"/>
  <c r="E41" i="4"/>
  <c r="L41" i="4"/>
  <c r="I41" i="4"/>
  <c r="K41" i="4"/>
  <c r="Q41" i="4"/>
  <c r="J41" i="4"/>
  <c r="H41" i="4"/>
  <c r="B41" i="4"/>
  <c r="M41" i="4"/>
  <c r="P41" i="4"/>
  <c r="N41" i="4"/>
  <c r="Q44" i="4"/>
  <c r="A34" i="4"/>
  <c r="N52" i="4"/>
  <c r="M52" i="4"/>
  <c r="D52" i="4"/>
  <c r="O52" i="4"/>
  <c r="K44" i="4"/>
  <c r="Q13" i="1"/>
  <c r="G44" i="4"/>
  <c r="E44" i="4"/>
  <c r="R13" i="1"/>
  <c r="O44" i="4"/>
  <c r="D44" i="4"/>
  <c r="I44" i="4"/>
  <c r="Q45" i="4"/>
  <c r="P45" i="4"/>
  <c r="J44" i="4"/>
  <c r="J45" i="4"/>
  <c r="F44" i="4"/>
  <c r="M44" i="4"/>
  <c r="I45" i="4"/>
  <c r="C45" i="4"/>
  <c r="H44" i="4"/>
  <c r="B44" i="4"/>
  <c r="D45" i="4"/>
  <c r="H45" i="4"/>
  <c r="E45" i="4"/>
  <c r="K45" i="4"/>
  <c r="C44" i="4"/>
  <c r="P44" i="4"/>
  <c r="B45" i="4"/>
  <c r="O45" i="4"/>
  <c r="N44" i="4"/>
  <c r="M45" i="4"/>
  <c r="G45" i="4"/>
  <c r="L45" i="4"/>
  <c r="K52" i="4"/>
  <c r="J52" i="4"/>
  <c r="G52" i="4"/>
  <c r="P52" i="4"/>
  <c r="Q40" i="4"/>
  <c r="B52" i="4"/>
  <c r="Q52" i="4"/>
  <c r="I52" i="4"/>
  <c r="C52" i="4"/>
  <c r="L52" i="4"/>
  <c r="E52" i="4"/>
  <c r="F52" i="4"/>
  <c r="G48" i="4"/>
  <c r="B46" i="4"/>
  <c r="L48" i="4"/>
  <c r="E40" i="4"/>
  <c r="N48" i="4"/>
  <c r="H46" i="4"/>
  <c r="O48" i="4"/>
  <c r="H48" i="4"/>
  <c r="B48" i="4"/>
  <c r="C49" i="4"/>
  <c r="N49" i="4"/>
  <c r="M49" i="4"/>
  <c r="Q46" i="4"/>
  <c r="K49" i="4"/>
  <c r="F46" i="4"/>
  <c r="F48" i="4"/>
  <c r="P48" i="4"/>
  <c r="C48" i="4"/>
  <c r="I48" i="4"/>
  <c r="D48" i="4"/>
  <c r="M48" i="4"/>
  <c r="K48" i="4"/>
  <c r="E48" i="4"/>
  <c r="J48" i="4"/>
  <c r="B51" i="4"/>
  <c r="D51" i="4"/>
  <c r="C40" i="4"/>
  <c r="P46" i="4"/>
  <c r="N46" i="4"/>
  <c r="D46" i="4"/>
  <c r="C46" i="4"/>
  <c r="C51" i="4"/>
  <c r="Q51" i="4"/>
  <c r="Q42" i="4"/>
  <c r="M51" i="4"/>
  <c r="F51" i="4"/>
  <c r="G51" i="4"/>
  <c r="P51" i="4"/>
  <c r="I51" i="4"/>
  <c r="E51" i="4"/>
  <c r="E46" i="4"/>
  <c r="K46" i="4"/>
  <c r="K51" i="4"/>
  <c r="N51" i="4"/>
  <c r="L40" i="4"/>
  <c r="J46" i="4"/>
  <c r="I46" i="4"/>
  <c r="K42" i="4"/>
  <c r="O42" i="4"/>
  <c r="O51" i="4"/>
  <c r="L51" i="4"/>
  <c r="F40" i="4"/>
  <c r="L46" i="4"/>
  <c r="O46" i="4"/>
  <c r="H51" i="4"/>
  <c r="O40" i="4"/>
  <c r="M46" i="4"/>
  <c r="P49" i="4"/>
  <c r="B49" i="4"/>
  <c r="E49" i="4"/>
  <c r="O49" i="4"/>
  <c r="J49" i="4"/>
  <c r="I49" i="4"/>
  <c r="F49" i="4"/>
  <c r="Q49" i="4"/>
  <c r="H49" i="4"/>
  <c r="G49" i="4"/>
  <c r="D49" i="4"/>
  <c r="D40" i="4"/>
  <c r="M40" i="4"/>
  <c r="B42" i="4"/>
  <c r="F43" i="4"/>
  <c r="H40" i="4"/>
  <c r="B40" i="4"/>
  <c r="M42" i="4"/>
  <c r="J40" i="4"/>
  <c r="P40" i="4"/>
  <c r="C42" i="4"/>
  <c r="N40" i="4"/>
  <c r="I40" i="4"/>
  <c r="L42" i="4"/>
  <c r="K43" i="4"/>
  <c r="K40" i="4"/>
  <c r="H42" i="4"/>
  <c r="B43" i="4"/>
  <c r="O43" i="4"/>
  <c r="L43" i="4"/>
  <c r="H43" i="4"/>
  <c r="E43" i="4"/>
  <c r="I43" i="4"/>
  <c r="G43" i="4"/>
  <c r="J43" i="4"/>
  <c r="D43" i="4"/>
  <c r="N43" i="4"/>
  <c r="C43" i="4"/>
  <c r="Q43" i="4"/>
  <c r="P42" i="4"/>
  <c r="D42" i="4"/>
  <c r="P43" i="4"/>
  <c r="J42" i="4"/>
  <c r="I42" i="4"/>
  <c r="G42" i="4"/>
  <c r="N42" i="4"/>
  <c r="F42" i="4"/>
  <c r="M108" i="4"/>
  <c r="K108" i="4"/>
  <c r="J108" i="4"/>
  <c r="P108" i="4"/>
  <c r="C108" i="4"/>
  <c r="I108" i="4"/>
  <c r="G108" i="4"/>
  <c r="N108" i="4"/>
  <c r="E108" i="4"/>
  <c r="Q108" i="4"/>
  <c r="O108" i="4"/>
  <c r="L108" i="4"/>
  <c r="B108" i="4"/>
  <c r="D108" i="4"/>
  <c r="H108" i="4"/>
  <c r="F108" i="4"/>
  <c r="B127" i="4"/>
  <c r="O127" i="4"/>
  <c r="D127" i="4"/>
  <c r="K127" i="4"/>
  <c r="G127" i="4"/>
  <c r="F127" i="4"/>
  <c r="I127" i="4"/>
  <c r="H127" i="4"/>
  <c r="J127" i="4"/>
  <c r="M127" i="4"/>
  <c r="P127" i="4"/>
  <c r="Q127" i="4"/>
  <c r="N127" i="4"/>
  <c r="L127" i="4"/>
  <c r="C127" i="4"/>
  <c r="E127" i="4"/>
  <c r="N80" i="4"/>
  <c r="B80" i="4"/>
  <c r="J80" i="4"/>
  <c r="P80" i="4"/>
  <c r="E80" i="4"/>
  <c r="C80" i="4"/>
  <c r="F80" i="4"/>
  <c r="L80" i="4"/>
  <c r="Q80" i="4"/>
  <c r="K80" i="4"/>
  <c r="G80" i="4"/>
  <c r="D80" i="4"/>
  <c r="M80" i="4"/>
  <c r="O80" i="4"/>
  <c r="H80" i="4"/>
  <c r="I80" i="4"/>
  <c r="Q128" i="4"/>
  <c r="L128" i="4"/>
  <c r="I128" i="4"/>
  <c r="K128" i="4"/>
  <c r="F128" i="4"/>
  <c r="G128" i="4"/>
  <c r="P128" i="4"/>
  <c r="N128" i="4"/>
  <c r="M128" i="4"/>
  <c r="J128" i="4"/>
  <c r="O128" i="4"/>
  <c r="C128" i="4"/>
  <c r="D128" i="4"/>
  <c r="E128" i="4"/>
  <c r="H128" i="4"/>
  <c r="B128" i="4"/>
  <c r="J131" i="4"/>
  <c r="M131" i="4"/>
  <c r="C131" i="4"/>
  <c r="N131" i="4"/>
  <c r="K131" i="4"/>
  <c r="P131" i="4"/>
  <c r="D131" i="4"/>
  <c r="Q131" i="4"/>
  <c r="L131" i="4"/>
  <c r="E131" i="4"/>
  <c r="H131" i="4"/>
  <c r="G131" i="4"/>
  <c r="O131" i="4"/>
  <c r="B131" i="4"/>
  <c r="I131" i="4"/>
  <c r="F131" i="4"/>
  <c r="Q65" i="4"/>
  <c r="O65" i="4"/>
  <c r="I65" i="4"/>
  <c r="P65" i="4"/>
  <c r="J65" i="4"/>
  <c r="D65" i="4"/>
  <c r="K65" i="4"/>
  <c r="N65" i="4"/>
  <c r="H65" i="4"/>
  <c r="F65" i="4"/>
  <c r="G65" i="4"/>
  <c r="B65" i="4"/>
  <c r="L65" i="4"/>
  <c r="C65" i="4"/>
  <c r="M65" i="4"/>
  <c r="E65" i="4"/>
  <c r="J99" i="4"/>
  <c r="H99" i="4"/>
  <c r="F99" i="4"/>
  <c r="Q99" i="4"/>
  <c r="P99" i="4"/>
  <c r="L99" i="4"/>
  <c r="C99" i="4"/>
  <c r="E99" i="4"/>
  <c r="D99" i="4"/>
  <c r="B99" i="4"/>
  <c r="K99" i="4"/>
  <c r="M99" i="4"/>
  <c r="I99" i="4"/>
  <c r="N99" i="4"/>
  <c r="G99" i="4"/>
  <c r="O99" i="4"/>
  <c r="M130" i="4"/>
  <c r="F130" i="4"/>
  <c r="G130" i="4"/>
  <c r="H130" i="4"/>
  <c r="P130" i="4"/>
  <c r="J130" i="4"/>
  <c r="B130" i="4"/>
  <c r="I130" i="4"/>
  <c r="K130" i="4"/>
  <c r="N130" i="4"/>
  <c r="L130" i="4"/>
  <c r="Q130" i="4"/>
  <c r="E130" i="4"/>
  <c r="C130" i="4"/>
  <c r="D130" i="4"/>
  <c r="O130" i="4"/>
  <c r="G57" i="4"/>
  <c r="D57" i="4"/>
  <c r="L57" i="4"/>
  <c r="P57" i="4"/>
  <c r="C57" i="4"/>
  <c r="J57" i="4"/>
  <c r="F57" i="4"/>
  <c r="Q57" i="4"/>
  <c r="H57" i="4"/>
  <c r="E57" i="4"/>
  <c r="I57" i="4"/>
  <c r="M57" i="4"/>
  <c r="K57" i="4"/>
  <c r="O57" i="4"/>
  <c r="B57" i="4"/>
  <c r="N57" i="4"/>
  <c r="B83" i="4"/>
  <c r="K83" i="4"/>
  <c r="D83" i="4"/>
  <c r="C83" i="4"/>
  <c r="G83" i="4"/>
  <c r="F83" i="4"/>
  <c r="I83" i="4"/>
  <c r="P83" i="4"/>
  <c r="L83" i="4"/>
  <c r="M83" i="4"/>
  <c r="J83" i="4"/>
  <c r="O83" i="4"/>
  <c r="H83" i="4"/>
  <c r="E83" i="4"/>
  <c r="N83" i="4"/>
  <c r="Q83" i="4"/>
  <c r="C101" i="4"/>
  <c r="E101" i="4"/>
  <c r="N101" i="4"/>
  <c r="P101" i="4"/>
  <c r="O101" i="4"/>
  <c r="H101" i="4"/>
  <c r="D101" i="4"/>
  <c r="G101" i="4"/>
  <c r="J101" i="4"/>
  <c r="I101" i="4"/>
  <c r="B101" i="4"/>
  <c r="L101" i="4"/>
  <c r="F101" i="4"/>
  <c r="M101" i="4"/>
  <c r="K101" i="4"/>
  <c r="Q101" i="4"/>
  <c r="F117" i="4"/>
  <c r="H117" i="4"/>
  <c r="O117" i="4"/>
  <c r="D117" i="4"/>
  <c r="L117" i="4"/>
  <c r="M117" i="4"/>
  <c r="N117" i="4"/>
  <c r="E117" i="4"/>
  <c r="C117" i="4"/>
  <c r="P117" i="4"/>
  <c r="J117" i="4"/>
  <c r="K117" i="4"/>
  <c r="Q117" i="4"/>
  <c r="B117" i="4"/>
  <c r="G117" i="4"/>
  <c r="I117" i="4"/>
  <c r="K78" i="4"/>
  <c r="I78" i="4"/>
  <c r="L78" i="4"/>
  <c r="N78" i="4"/>
  <c r="C78" i="4"/>
  <c r="F78" i="4"/>
  <c r="O78" i="4"/>
  <c r="B78" i="4"/>
  <c r="D78" i="4"/>
  <c r="H78" i="4"/>
  <c r="G78" i="4"/>
  <c r="E78" i="4"/>
  <c r="P78" i="4"/>
  <c r="Q78" i="4"/>
  <c r="J78" i="4"/>
  <c r="M78" i="4"/>
  <c r="M102" i="4"/>
  <c r="P102" i="4"/>
  <c r="I102" i="4"/>
  <c r="C102" i="4"/>
  <c r="E102" i="4"/>
  <c r="N102" i="4"/>
  <c r="Q102" i="4"/>
  <c r="L102" i="4"/>
  <c r="J102" i="4"/>
  <c r="H102" i="4"/>
  <c r="B102" i="4"/>
  <c r="F102" i="4"/>
  <c r="D102" i="4"/>
  <c r="G102" i="4"/>
  <c r="O102" i="4"/>
  <c r="K102" i="4"/>
  <c r="K58" i="4"/>
  <c r="N58" i="4"/>
  <c r="C58" i="4"/>
  <c r="P58" i="4"/>
  <c r="M58" i="4"/>
  <c r="E58" i="4"/>
  <c r="F58" i="4"/>
  <c r="D58" i="4"/>
  <c r="O58" i="4"/>
  <c r="B58" i="4"/>
  <c r="L58" i="4"/>
  <c r="H58" i="4"/>
  <c r="Q58" i="4"/>
  <c r="G58" i="4"/>
  <c r="I58" i="4"/>
  <c r="J58" i="4"/>
  <c r="N136" i="4"/>
  <c r="E136" i="4"/>
  <c r="G136" i="4"/>
  <c r="P136" i="4"/>
  <c r="F136" i="4"/>
  <c r="C136" i="4"/>
  <c r="H136" i="4"/>
  <c r="K136" i="4"/>
  <c r="L136" i="4"/>
  <c r="I136" i="4"/>
  <c r="O136" i="4"/>
  <c r="J136" i="4"/>
  <c r="D136" i="4"/>
  <c r="M136" i="4"/>
  <c r="B136" i="4"/>
  <c r="Q136" i="4"/>
  <c r="C126" i="4"/>
  <c r="N126" i="4"/>
  <c r="O126" i="4"/>
  <c r="I126" i="4"/>
  <c r="E126" i="4"/>
  <c r="L126" i="4"/>
  <c r="Q126" i="4"/>
  <c r="D126" i="4"/>
  <c r="F126" i="4"/>
  <c r="P126" i="4"/>
  <c r="M126" i="4"/>
  <c r="J126" i="4"/>
  <c r="B126" i="4"/>
  <c r="H126" i="4"/>
  <c r="K126" i="4"/>
  <c r="G126" i="4"/>
  <c r="H91" i="4"/>
  <c r="J91" i="4"/>
  <c r="G91" i="4"/>
  <c r="F91" i="4"/>
  <c r="Q91" i="4"/>
  <c r="N91" i="4"/>
  <c r="D91" i="4"/>
  <c r="C91" i="4"/>
  <c r="K91" i="4"/>
  <c r="L91" i="4"/>
  <c r="P91" i="4"/>
  <c r="E91" i="4"/>
  <c r="M91" i="4"/>
  <c r="B91" i="4"/>
  <c r="I91" i="4"/>
  <c r="O91" i="4"/>
  <c r="N69" i="4"/>
  <c r="B69" i="4"/>
  <c r="G69" i="4"/>
  <c r="D69" i="4"/>
  <c r="O69" i="4"/>
  <c r="L69" i="4"/>
  <c r="F69" i="4"/>
  <c r="K69" i="4"/>
  <c r="Q69" i="4"/>
  <c r="H69" i="4"/>
  <c r="P69" i="4"/>
  <c r="J69" i="4"/>
  <c r="E69" i="4"/>
  <c r="I69" i="4"/>
  <c r="M69" i="4"/>
  <c r="C69" i="4"/>
  <c r="Q132" i="4"/>
  <c r="P132" i="4"/>
  <c r="C132" i="4"/>
  <c r="H132" i="4"/>
  <c r="D132" i="4"/>
  <c r="B132" i="4"/>
  <c r="K132" i="4"/>
  <c r="G132" i="4"/>
  <c r="M132" i="4"/>
  <c r="N132" i="4"/>
  <c r="F132" i="4"/>
  <c r="L132" i="4"/>
  <c r="E132" i="4"/>
  <c r="I132" i="4"/>
  <c r="O132" i="4"/>
  <c r="J132" i="4"/>
  <c r="L59" i="4"/>
  <c r="H59" i="4"/>
  <c r="B59" i="4"/>
  <c r="O59" i="4"/>
  <c r="F59" i="4"/>
  <c r="K59" i="4"/>
  <c r="E59" i="4"/>
  <c r="N59" i="4"/>
  <c r="Q59" i="4"/>
  <c r="J59" i="4"/>
  <c r="C59" i="4"/>
  <c r="P59" i="4"/>
  <c r="G59" i="4"/>
  <c r="D59" i="4"/>
  <c r="I59" i="4"/>
  <c r="M59" i="4"/>
  <c r="E118" i="4"/>
  <c r="D118" i="4"/>
  <c r="Q118" i="4"/>
  <c r="J118" i="4"/>
  <c r="I118" i="4"/>
  <c r="B118" i="4"/>
  <c r="F118" i="4"/>
  <c r="L118" i="4"/>
  <c r="H118" i="4"/>
  <c r="K118" i="4"/>
  <c r="N118" i="4"/>
  <c r="C118" i="4"/>
  <c r="O118" i="4"/>
  <c r="M118" i="4"/>
  <c r="P118" i="4"/>
  <c r="G118" i="4"/>
  <c r="Q76" i="4"/>
  <c r="F76" i="4"/>
  <c r="C76" i="4"/>
  <c r="J76" i="4"/>
  <c r="H76" i="4"/>
  <c r="N76" i="4"/>
  <c r="E76" i="4"/>
  <c r="K76" i="4"/>
  <c r="L76" i="4"/>
  <c r="G76" i="4"/>
  <c r="P76" i="4"/>
  <c r="B76" i="4"/>
  <c r="M76" i="4"/>
  <c r="D76" i="4"/>
  <c r="O76" i="4"/>
  <c r="I76" i="4"/>
  <c r="I135" i="4"/>
  <c r="E135" i="4"/>
  <c r="L135" i="4"/>
  <c r="K135" i="4"/>
  <c r="D135" i="4"/>
  <c r="N135" i="4"/>
  <c r="P135" i="4"/>
  <c r="F135" i="4"/>
  <c r="C135" i="4"/>
  <c r="O135" i="4"/>
  <c r="Q135" i="4"/>
  <c r="M135" i="4"/>
  <c r="J135" i="4"/>
  <c r="B135" i="4"/>
  <c r="G135" i="4"/>
  <c r="H135" i="4"/>
  <c r="I110" i="4"/>
  <c r="B110" i="4"/>
  <c r="E110" i="4"/>
  <c r="F110" i="4"/>
  <c r="N110" i="4"/>
  <c r="Q110" i="4"/>
  <c r="O110" i="4"/>
  <c r="C110" i="4"/>
  <c r="K110" i="4"/>
  <c r="L110" i="4"/>
  <c r="P110" i="4"/>
  <c r="G110" i="4"/>
  <c r="M110" i="4"/>
  <c r="H110" i="4"/>
  <c r="J110" i="4"/>
  <c r="D110" i="4"/>
  <c r="G53" i="4"/>
  <c r="I53" i="4"/>
  <c r="O53" i="4"/>
  <c r="J53" i="4"/>
  <c r="C53" i="4"/>
  <c r="L53" i="4"/>
  <c r="K53" i="4"/>
  <c r="D53" i="4"/>
  <c r="P53" i="4"/>
  <c r="Q53" i="4"/>
  <c r="E53" i="4"/>
  <c r="H53" i="4"/>
  <c r="B53" i="4"/>
  <c r="M53" i="4"/>
  <c r="F53" i="4"/>
  <c r="N53" i="4"/>
  <c r="I92" i="4"/>
  <c r="K92" i="4"/>
  <c r="H92" i="4"/>
  <c r="M92" i="4"/>
  <c r="E92" i="4"/>
  <c r="Q92" i="4"/>
  <c r="F92" i="4"/>
  <c r="C92" i="4"/>
  <c r="D92" i="4"/>
  <c r="N92" i="4"/>
  <c r="O92" i="4"/>
  <c r="G92" i="4"/>
  <c r="P92" i="4"/>
  <c r="L92" i="4"/>
  <c r="J92" i="4"/>
  <c r="B92" i="4"/>
  <c r="E139" i="4"/>
  <c r="B139" i="4"/>
  <c r="M139" i="4"/>
  <c r="G139" i="4"/>
  <c r="H139" i="4"/>
  <c r="F139" i="4"/>
  <c r="P139" i="4"/>
  <c r="I139" i="4"/>
  <c r="C139" i="4"/>
  <c r="J139" i="4"/>
  <c r="N139" i="4"/>
  <c r="K139" i="4"/>
  <c r="L139" i="4"/>
  <c r="D139" i="4"/>
  <c r="O139" i="4"/>
  <c r="Q139" i="4"/>
  <c r="I121" i="4"/>
  <c r="J121" i="4"/>
  <c r="Q121" i="4"/>
  <c r="M121" i="4"/>
  <c r="D121" i="4"/>
  <c r="N121" i="4"/>
  <c r="L121" i="4"/>
  <c r="K121" i="4"/>
  <c r="G121" i="4"/>
  <c r="B121" i="4"/>
  <c r="O121" i="4"/>
  <c r="H121" i="4"/>
  <c r="C121" i="4"/>
  <c r="P121" i="4"/>
  <c r="E121" i="4"/>
  <c r="F121" i="4"/>
  <c r="F137" i="4"/>
  <c r="G137" i="4"/>
  <c r="P137" i="4"/>
  <c r="C137" i="4"/>
  <c r="H137" i="4"/>
  <c r="K137" i="4"/>
  <c r="N137" i="4"/>
  <c r="J137" i="4"/>
  <c r="B137" i="4"/>
  <c r="O137" i="4"/>
  <c r="I137" i="4"/>
  <c r="L137" i="4"/>
  <c r="E137" i="4"/>
  <c r="M137" i="4"/>
  <c r="D137" i="4"/>
  <c r="Q137" i="4"/>
  <c r="J94" i="4"/>
  <c r="O94" i="4"/>
  <c r="N94" i="4"/>
  <c r="M94" i="4"/>
  <c r="B94" i="4"/>
  <c r="P94" i="4"/>
  <c r="D94" i="4"/>
  <c r="E94" i="4"/>
  <c r="H94" i="4"/>
  <c r="F94" i="4"/>
  <c r="G94" i="4"/>
  <c r="I94" i="4"/>
  <c r="C94" i="4"/>
  <c r="K94" i="4"/>
  <c r="L94" i="4"/>
  <c r="Q94" i="4"/>
  <c r="I87" i="4"/>
  <c r="O87" i="4"/>
  <c r="N87" i="4"/>
  <c r="D87" i="4"/>
  <c r="G87" i="4"/>
  <c r="F87" i="4"/>
  <c r="Q87" i="4"/>
  <c r="C87" i="4"/>
  <c r="M87" i="4"/>
  <c r="P87" i="4"/>
  <c r="E87" i="4"/>
  <c r="L87" i="4"/>
  <c r="H87" i="4"/>
  <c r="K87" i="4"/>
  <c r="J87" i="4"/>
  <c r="B87" i="4"/>
  <c r="J74" i="4"/>
  <c r="O74" i="4"/>
  <c r="G74" i="4"/>
  <c r="Q74" i="4"/>
  <c r="M74" i="4"/>
  <c r="I74" i="4"/>
  <c r="H74" i="4"/>
  <c r="E74" i="4"/>
  <c r="B74" i="4"/>
  <c r="K74" i="4"/>
  <c r="P74" i="4"/>
  <c r="L74" i="4"/>
  <c r="F74" i="4"/>
  <c r="N74" i="4"/>
  <c r="D74" i="4"/>
  <c r="C74" i="4"/>
  <c r="C107" i="4"/>
  <c r="G107" i="4"/>
  <c r="O107" i="4"/>
  <c r="B107" i="4"/>
  <c r="J107" i="4"/>
  <c r="N107" i="4"/>
  <c r="I107" i="4"/>
  <c r="Q107" i="4"/>
  <c r="L107" i="4"/>
  <c r="M107" i="4"/>
  <c r="F107" i="4"/>
  <c r="E107" i="4"/>
  <c r="P107" i="4"/>
  <c r="H107" i="4"/>
  <c r="K107" i="4"/>
  <c r="D107" i="4"/>
  <c r="P105" i="4"/>
  <c r="G105" i="4"/>
  <c r="D105" i="4"/>
  <c r="I105" i="4"/>
  <c r="E105" i="4"/>
  <c r="J105" i="4"/>
  <c r="F105" i="4"/>
  <c r="B105" i="4"/>
  <c r="K105" i="4"/>
  <c r="N105" i="4"/>
  <c r="L105" i="4"/>
  <c r="M105" i="4"/>
  <c r="H105" i="4"/>
  <c r="Q105" i="4"/>
  <c r="C105" i="4"/>
  <c r="O105" i="4"/>
  <c r="Q95" i="4"/>
  <c r="L95" i="4"/>
  <c r="M95" i="4"/>
  <c r="H95" i="4"/>
  <c r="G95" i="4"/>
  <c r="C95" i="4"/>
  <c r="E95" i="4"/>
  <c r="F95" i="4"/>
  <c r="K95" i="4"/>
  <c r="J95" i="4"/>
  <c r="O95" i="4"/>
  <c r="I95" i="4"/>
  <c r="N95" i="4"/>
  <c r="B95" i="4"/>
  <c r="P95" i="4"/>
  <c r="D95" i="4"/>
  <c r="C111" i="4"/>
  <c r="D111" i="4"/>
  <c r="M111" i="4"/>
  <c r="E111" i="4"/>
  <c r="O111" i="4"/>
  <c r="N111" i="4"/>
  <c r="Q111" i="4"/>
  <c r="J111" i="4"/>
  <c r="I111" i="4"/>
  <c r="H111" i="4"/>
  <c r="B111" i="4"/>
  <c r="F111" i="4"/>
  <c r="K111" i="4"/>
  <c r="L111" i="4"/>
  <c r="G111" i="4"/>
  <c r="P111" i="4"/>
  <c r="P120" i="4"/>
  <c r="E120" i="4"/>
  <c r="C120" i="4"/>
  <c r="D120" i="4"/>
  <c r="Q120" i="4"/>
  <c r="H120" i="4"/>
  <c r="N120" i="4"/>
  <c r="G120" i="4"/>
  <c r="F120" i="4"/>
  <c r="K120" i="4"/>
  <c r="B120" i="4"/>
  <c r="O120" i="4"/>
  <c r="I120" i="4"/>
  <c r="L120" i="4"/>
  <c r="J120" i="4"/>
  <c r="M120" i="4"/>
  <c r="K73" i="4"/>
  <c r="N73" i="4"/>
  <c r="C73" i="4"/>
  <c r="E73" i="4"/>
  <c r="L73" i="4"/>
  <c r="M73" i="4"/>
  <c r="G73" i="4"/>
  <c r="F73" i="4"/>
  <c r="H73" i="4"/>
  <c r="O73" i="4"/>
  <c r="J73" i="4"/>
  <c r="D73" i="4"/>
  <c r="I73" i="4"/>
  <c r="B73" i="4"/>
  <c r="P73" i="4"/>
  <c r="Q73" i="4"/>
  <c r="E140" i="4"/>
  <c r="G140" i="4"/>
  <c r="I140" i="4"/>
  <c r="C140" i="4"/>
  <c r="Q140" i="4"/>
  <c r="B140" i="4"/>
  <c r="L140" i="4"/>
  <c r="K140" i="4"/>
  <c r="M140" i="4"/>
  <c r="H140" i="4"/>
  <c r="F140" i="4"/>
  <c r="D140" i="4"/>
  <c r="N140" i="4"/>
  <c r="O140" i="4"/>
  <c r="J140" i="4"/>
  <c r="P140" i="4"/>
  <c r="Q115" i="4"/>
  <c r="O115" i="4"/>
  <c r="F115" i="4"/>
  <c r="C115" i="4"/>
  <c r="B115" i="4"/>
  <c r="J115" i="4"/>
  <c r="M115" i="4"/>
  <c r="G115" i="4"/>
  <c r="P115" i="4"/>
  <c r="K115" i="4"/>
  <c r="N115" i="4"/>
  <c r="D115" i="4"/>
  <c r="E115" i="4"/>
  <c r="I115" i="4"/>
  <c r="H115" i="4"/>
  <c r="L115" i="4"/>
  <c r="G77" i="4"/>
  <c r="E77" i="4"/>
  <c r="O77" i="4"/>
  <c r="B77" i="4"/>
  <c r="P77" i="4"/>
  <c r="J77" i="4"/>
  <c r="D77" i="4"/>
  <c r="I77" i="4"/>
  <c r="M77" i="4"/>
  <c r="Q77" i="4"/>
  <c r="H77" i="4"/>
  <c r="L77" i="4"/>
  <c r="F77" i="4"/>
  <c r="N77" i="4"/>
  <c r="C77" i="4"/>
  <c r="K77" i="4"/>
  <c r="N61" i="4"/>
  <c r="K61" i="4"/>
  <c r="H61" i="4"/>
  <c r="D61" i="4"/>
  <c r="G61" i="4"/>
  <c r="M61" i="4"/>
  <c r="F61" i="4"/>
  <c r="C61" i="4"/>
  <c r="Q61" i="4"/>
  <c r="B61" i="4"/>
  <c r="O61" i="4"/>
  <c r="I61" i="4"/>
  <c r="J61" i="4"/>
  <c r="L61" i="4"/>
  <c r="E61" i="4"/>
  <c r="P61" i="4"/>
  <c r="P54" i="4"/>
  <c r="D54" i="4"/>
  <c r="I54" i="4"/>
  <c r="M54" i="4"/>
  <c r="O54" i="4"/>
  <c r="K54" i="4"/>
  <c r="E54" i="4"/>
  <c r="J54" i="4"/>
  <c r="C54" i="4"/>
  <c r="L54" i="4"/>
  <c r="Q54" i="4"/>
  <c r="F54" i="4"/>
  <c r="G54" i="4"/>
  <c r="N54" i="4"/>
  <c r="B54" i="4"/>
  <c r="H54" i="4"/>
  <c r="G114" i="4"/>
  <c r="L114" i="4"/>
  <c r="I114" i="4"/>
  <c r="N114" i="4"/>
  <c r="J114" i="4"/>
  <c r="F114" i="4"/>
  <c r="Q114" i="4"/>
  <c r="M114" i="4"/>
  <c r="B114" i="4"/>
  <c r="H114" i="4"/>
  <c r="D114" i="4"/>
  <c r="C114" i="4"/>
  <c r="K114" i="4"/>
  <c r="O114" i="4"/>
  <c r="P114" i="4"/>
  <c r="E114" i="4"/>
  <c r="E97" i="4"/>
  <c r="O97" i="4"/>
  <c r="Q97" i="4"/>
  <c r="F97" i="4"/>
  <c r="G97" i="4"/>
  <c r="B97" i="4"/>
  <c r="P97" i="4"/>
  <c r="I97" i="4"/>
  <c r="K97" i="4"/>
  <c r="M97" i="4"/>
  <c r="C97" i="4"/>
  <c r="L97" i="4"/>
  <c r="N97" i="4"/>
  <c r="H97" i="4"/>
  <c r="D97" i="4"/>
  <c r="J97" i="4"/>
  <c r="K84" i="4"/>
  <c r="J84" i="4"/>
  <c r="O84" i="4"/>
  <c r="G84" i="4"/>
  <c r="M84" i="4"/>
  <c r="E84" i="4"/>
  <c r="D84" i="4"/>
  <c r="N84" i="4"/>
  <c r="C84" i="4"/>
  <c r="F84" i="4"/>
  <c r="L84" i="4"/>
  <c r="H84" i="4"/>
  <c r="I84" i="4"/>
  <c r="Q84" i="4"/>
  <c r="P84" i="4"/>
  <c r="B84" i="4"/>
  <c r="H68" i="4"/>
  <c r="J68" i="4"/>
  <c r="L68" i="4"/>
  <c r="Q68" i="4"/>
  <c r="D68" i="4"/>
  <c r="B68" i="4"/>
  <c r="E68" i="4"/>
  <c r="P68" i="4"/>
  <c r="I68" i="4"/>
  <c r="K68" i="4"/>
  <c r="O68" i="4"/>
  <c r="N68" i="4"/>
  <c r="G68" i="4"/>
  <c r="M68" i="4"/>
  <c r="C68" i="4"/>
  <c r="F68" i="4"/>
  <c r="C66" i="4"/>
  <c r="F66" i="4"/>
  <c r="B66" i="4"/>
  <c r="Q66" i="4"/>
  <c r="M66" i="4"/>
  <c r="L66" i="4"/>
  <c r="K66" i="4"/>
  <c r="G66" i="4"/>
  <c r="J66" i="4"/>
  <c r="P66" i="4"/>
  <c r="N66" i="4"/>
  <c r="H66" i="4"/>
  <c r="D66" i="4"/>
  <c r="I66" i="4"/>
  <c r="E66" i="4"/>
  <c r="O66" i="4"/>
  <c r="O70" i="4"/>
  <c r="M70" i="4"/>
  <c r="C70" i="4"/>
  <c r="E70" i="4"/>
  <c r="G70" i="4"/>
  <c r="K70" i="4"/>
  <c r="J70" i="4"/>
  <c r="B70" i="4"/>
  <c r="N70" i="4"/>
  <c r="L70" i="4"/>
  <c r="P70" i="4"/>
  <c r="I70" i="4"/>
  <c r="Q70" i="4"/>
  <c r="F70" i="4"/>
  <c r="H70" i="4"/>
  <c r="D70" i="4"/>
  <c r="C81" i="4"/>
  <c r="N81" i="4"/>
  <c r="B81" i="4"/>
  <c r="E81" i="4"/>
  <c r="G81" i="4"/>
  <c r="I81" i="4"/>
  <c r="D81" i="4"/>
  <c r="M81" i="4"/>
  <c r="Q81" i="4"/>
  <c r="K81" i="4"/>
  <c r="H81" i="4"/>
  <c r="J81" i="4"/>
  <c r="O81" i="4"/>
  <c r="L81" i="4"/>
  <c r="F81" i="4"/>
  <c r="P81" i="4"/>
  <c r="I60" i="4"/>
  <c r="F60" i="4"/>
  <c r="K60" i="4"/>
  <c r="N60" i="4"/>
  <c r="Q60" i="4"/>
  <c r="G60" i="4"/>
  <c r="E60" i="4"/>
  <c r="J60" i="4"/>
  <c r="L60" i="4"/>
  <c r="D60" i="4"/>
  <c r="M60" i="4"/>
  <c r="C60" i="4"/>
  <c r="H60" i="4"/>
  <c r="O60" i="4"/>
  <c r="B60" i="4"/>
  <c r="P60" i="4"/>
  <c r="P75" i="4"/>
  <c r="L75" i="4"/>
  <c r="M75" i="4"/>
  <c r="H75" i="4"/>
  <c r="C75" i="4"/>
  <c r="N75" i="4"/>
  <c r="D75" i="4"/>
  <c r="I75" i="4"/>
  <c r="J75" i="4"/>
  <c r="F75" i="4"/>
  <c r="O75" i="4"/>
  <c r="Q75" i="4"/>
  <c r="E75" i="4"/>
  <c r="G75" i="4"/>
  <c r="B75" i="4"/>
  <c r="K75" i="4"/>
  <c r="G122" i="4"/>
  <c r="L122" i="4"/>
  <c r="I122" i="4"/>
  <c r="E122" i="4"/>
  <c r="D122" i="4"/>
  <c r="Q122" i="4"/>
  <c r="J122" i="4"/>
  <c r="P122" i="4"/>
  <c r="K122" i="4"/>
  <c r="H122" i="4"/>
  <c r="F122" i="4"/>
  <c r="B122" i="4"/>
  <c r="M122" i="4"/>
  <c r="C122" i="4"/>
  <c r="O122" i="4"/>
  <c r="N122" i="4"/>
  <c r="L88" i="4"/>
  <c r="H88" i="4"/>
  <c r="E88" i="4"/>
  <c r="I88" i="4"/>
  <c r="F88" i="4"/>
  <c r="C88" i="4"/>
  <c r="B88" i="4"/>
  <c r="O88" i="4"/>
  <c r="P88" i="4"/>
  <c r="M88" i="4"/>
  <c r="Q88" i="4"/>
  <c r="K88" i="4"/>
  <c r="D88" i="4"/>
  <c r="N88" i="4"/>
  <c r="J88" i="4"/>
  <c r="G88" i="4"/>
  <c r="E138" i="4"/>
  <c r="G138" i="4"/>
  <c r="N138" i="4"/>
  <c r="I138" i="4"/>
  <c r="H138" i="4"/>
  <c r="J138" i="4"/>
  <c r="B138" i="4"/>
  <c r="Q138" i="4"/>
  <c r="C138" i="4"/>
  <c r="K138" i="4"/>
  <c r="L138" i="4"/>
  <c r="D138" i="4"/>
  <c r="M138" i="4"/>
  <c r="P138" i="4"/>
  <c r="O138" i="4"/>
  <c r="F138" i="4"/>
  <c r="C112" i="4"/>
  <c r="J112" i="4"/>
  <c r="G112" i="4"/>
  <c r="K112" i="4"/>
  <c r="L112" i="4"/>
  <c r="N112" i="4"/>
  <c r="F112" i="4"/>
  <c r="D112" i="4"/>
  <c r="B112" i="4"/>
  <c r="P112" i="4"/>
  <c r="Q112" i="4"/>
  <c r="M112" i="4"/>
  <c r="E112" i="4"/>
  <c r="O112" i="4"/>
  <c r="H112" i="4"/>
  <c r="I112" i="4"/>
  <c r="C104" i="4"/>
  <c r="F104" i="4"/>
  <c r="K104" i="4"/>
  <c r="O104" i="4"/>
  <c r="H104" i="4"/>
  <c r="N104" i="4"/>
  <c r="I104" i="4"/>
  <c r="D104" i="4"/>
  <c r="Q104" i="4"/>
  <c r="L104" i="4"/>
  <c r="J104" i="4"/>
  <c r="G104" i="4"/>
  <c r="B104" i="4"/>
  <c r="E104" i="4"/>
  <c r="P104" i="4"/>
  <c r="M104" i="4"/>
  <c r="J93" i="4"/>
  <c r="N93" i="4"/>
  <c r="E93" i="4"/>
  <c r="P93" i="4"/>
  <c r="L93" i="4"/>
  <c r="B93" i="4"/>
  <c r="F93" i="4"/>
  <c r="D93" i="4"/>
  <c r="K93" i="4"/>
  <c r="H93" i="4"/>
  <c r="O93" i="4"/>
  <c r="M93" i="4"/>
  <c r="G93" i="4"/>
  <c r="C93" i="4"/>
  <c r="Q93" i="4"/>
  <c r="I93" i="4"/>
  <c r="L79" i="4"/>
  <c r="F79" i="4"/>
  <c r="B79" i="4"/>
  <c r="J79" i="4"/>
  <c r="C79" i="4"/>
  <c r="K79" i="4"/>
  <c r="H79" i="4"/>
  <c r="I79" i="4"/>
  <c r="E79" i="4"/>
  <c r="G79" i="4"/>
  <c r="N79" i="4"/>
  <c r="O79" i="4"/>
  <c r="M79" i="4"/>
  <c r="P79" i="4"/>
  <c r="Q79" i="4"/>
  <c r="D79" i="4"/>
  <c r="J119" i="4"/>
  <c r="Q119" i="4"/>
  <c r="D119" i="4"/>
  <c r="M119" i="4"/>
  <c r="N119" i="4"/>
  <c r="O119" i="4"/>
  <c r="B119" i="4"/>
  <c r="K119" i="4"/>
  <c r="E119" i="4"/>
  <c r="C119" i="4"/>
  <c r="L119" i="4"/>
  <c r="P119" i="4"/>
  <c r="H119" i="4"/>
  <c r="G119" i="4"/>
  <c r="I119" i="4"/>
  <c r="F119" i="4"/>
  <c r="G116" i="4"/>
  <c r="K116" i="4"/>
  <c r="P116" i="4"/>
  <c r="O116" i="4"/>
  <c r="Q116" i="4"/>
  <c r="C116" i="4"/>
  <c r="H116" i="4"/>
  <c r="N116" i="4"/>
  <c r="E116" i="4"/>
  <c r="F116" i="4"/>
  <c r="I116" i="4"/>
  <c r="J116" i="4"/>
  <c r="M116" i="4"/>
  <c r="L116" i="4"/>
  <c r="B116" i="4"/>
  <c r="D116" i="4"/>
  <c r="M124" i="4"/>
  <c r="N124" i="4"/>
  <c r="H124" i="4"/>
  <c r="B124" i="4"/>
  <c r="I124" i="4"/>
  <c r="L124" i="4"/>
  <c r="P124" i="4"/>
  <c r="D124" i="4"/>
  <c r="Q124" i="4"/>
  <c r="F124" i="4"/>
  <c r="E124" i="4"/>
  <c r="J124" i="4"/>
  <c r="O124" i="4"/>
  <c r="K124" i="4"/>
  <c r="G124" i="4"/>
  <c r="C124" i="4"/>
  <c r="B85" i="4"/>
  <c r="N85" i="4"/>
  <c r="K85" i="4"/>
  <c r="G85" i="4"/>
  <c r="D85" i="4"/>
  <c r="I85" i="4"/>
  <c r="L85" i="4"/>
  <c r="H85" i="4"/>
  <c r="P85" i="4"/>
  <c r="F85" i="4"/>
  <c r="E85" i="4"/>
  <c r="O85" i="4"/>
  <c r="Q85" i="4"/>
  <c r="M85" i="4"/>
  <c r="J85" i="4"/>
  <c r="C85" i="4"/>
  <c r="Q100" i="4"/>
  <c r="J100" i="4"/>
  <c r="B100" i="4"/>
  <c r="P100" i="4"/>
  <c r="C100" i="4"/>
  <c r="H100" i="4"/>
  <c r="L100" i="4"/>
  <c r="D100" i="4"/>
  <c r="I100" i="4"/>
  <c r="M100" i="4"/>
  <c r="K100" i="4"/>
  <c r="E100" i="4"/>
  <c r="F100" i="4"/>
  <c r="O100" i="4"/>
  <c r="G100" i="4"/>
  <c r="N100" i="4"/>
  <c r="H129" i="4"/>
  <c r="Q129" i="4"/>
  <c r="I129" i="4"/>
  <c r="F129" i="4"/>
  <c r="L129" i="4"/>
  <c r="E129" i="4"/>
  <c r="O129" i="4"/>
  <c r="D129" i="4"/>
  <c r="G129" i="4"/>
  <c r="J129" i="4"/>
  <c r="C129" i="4"/>
  <c r="B129" i="4"/>
  <c r="M129" i="4"/>
  <c r="P129" i="4"/>
  <c r="K129" i="4"/>
  <c r="N129" i="4"/>
  <c r="H56" i="4"/>
  <c r="J56" i="4"/>
  <c r="I56" i="4"/>
  <c r="D56" i="4"/>
  <c r="O56" i="4"/>
  <c r="L56" i="4"/>
  <c r="B56" i="4"/>
  <c r="P56" i="4"/>
  <c r="Q56" i="4"/>
  <c r="N56" i="4"/>
  <c r="G56" i="4"/>
  <c r="C56" i="4"/>
  <c r="E56" i="4"/>
  <c r="M56" i="4"/>
  <c r="K56" i="4"/>
  <c r="F56" i="4"/>
  <c r="P67" i="4"/>
  <c r="J67" i="4"/>
  <c r="F67" i="4"/>
  <c r="G67" i="4"/>
  <c r="Q67" i="4"/>
  <c r="O67" i="4"/>
  <c r="E67" i="4"/>
  <c r="M67" i="4"/>
  <c r="B67" i="4"/>
  <c r="K67" i="4"/>
  <c r="C67" i="4"/>
  <c r="D67" i="4"/>
  <c r="N67" i="4"/>
  <c r="H67" i="4"/>
  <c r="L67" i="4"/>
  <c r="I67" i="4"/>
  <c r="B133" i="4"/>
  <c r="G133" i="4"/>
  <c r="P133" i="4"/>
  <c r="N133" i="4"/>
  <c r="H133" i="4"/>
  <c r="O133" i="4"/>
  <c r="C133" i="4"/>
  <c r="F133" i="4"/>
  <c r="D133" i="4"/>
  <c r="M133" i="4"/>
  <c r="L133" i="4"/>
  <c r="Q133" i="4"/>
  <c r="E133" i="4"/>
  <c r="K133" i="4"/>
  <c r="I133" i="4"/>
  <c r="J133" i="4"/>
  <c r="K134" i="4"/>
  <c r="P134" i="4"/>
  <c r="O134" i="4"/>
  <c r="G134" i="4"/>
  <c r="B134" i="4"/>
  <c r="N134" i="4"/>
  <c r="I134" i="4"/>
  <c r="F134" i="4"/>
  <c r="Q134" i="4"/>
  <c r="L134" i="4"/>
  <c r="J134" i="4"/>
  <c r="E134" i="4"/>
  <c r="D134" i="4"/>
  <c r="C134" i="4"/>
  <c r="M134" i="4"/>
  <c r="H134" i="4"/>
  <c r="F98" i="4"/>
  <c r="K98" i="4"/>
  <c r="J98" i="4"/>
  <c r="C98" i="4"/>
  <c r="D98" i="4"/>
  <c r="I98" i="4"/>
  <c r="N98" i="4"/>
  <c r="O98" i="4"/>
  <c r="Q98" i="4"/>
  <c r="B98" i="4"/>
  <c r="E98" i="4"/>
  <c r="P98" i="4"/>
  <c r="G98" i="4"/>
  <c r="L98" i="4"/>
  <c r="H98" i="4"/>
  <c r="M98" i="4"/>
  <c r="F71" i="4"/>
  <c r="M71" i="4"/>
  <c r="J71" i="4"/>
  <c r="D71" i="4"/>
  <c r="K71" i="4"/>
  <c r="I71" i="4"/>
  <c r="B71" i="4"/>
  <c r="P71" i="4"/>
  <c r="H71" i="4"/>
  <c r="O71" i="4"/>
  <c r="L71" i="4"/>
  <c r="C71" i="4"/>
  <c r="Q71" i="4"/>
  <c r="G71" i="4"/>
  <c r="N71" i="4"/>
  <c r="E71" i="4"/>
  <c r="H55" i="4"/>
  <c r="G55" i="4"/>
  <c r="P55" i="4"/>
  <c r="D55" i="4"/>
  <c r="Q55" i="4"/>
  <c r="K55" i="4"/>
  <c r="F55" i="4"/>
  <c r="L55" i="4"/>
  <c r="O55" i="4"/>
  <c r="C55" i="4"/>
  <c r="M55" i="4"/>
  <c r="B55" i="4"/>
  <c r="I55" i="4"/>
  <c r="E55" i="4"/>
  <c r="N55" i="4"/>
  <c r="J55" i="4"/>
  <c r="G82" i="4"/>
  <c r="I82" i="4"/>
  <c r="H82" i="4"/>
  <c r="N82" i="4"/>
  <c r="J82" i="4"/>
  <c r="D82" i="4"/>
  <c r="Q82" i="4"/>
  <c r="P82" i="4"/>
  <c r="M82" i="4"/>
  <c r="B82" i="4"/>
  <c r="O82" i="4"/>
  <c r="C82" i="4"/>
  <c r="E82" i="4"/>
  <c r="K82" i="4"/>
  <c r="L82" i="4"/>
  <c r="F82" i="4"/>
  <c r="O96" i="4"/>
  <c r="J96" i="4"/>
  <c r="E96" i="4"/>
  <c r="H96" i="4"/>
  <c r="M96" i="4"/>
  <c r="P96" i="4"/>
  <c r="F96" i="4"/>
  <c r="K96" i="4"/>
  <c r="B96" i="4"/>
  <c r="Q96" i="4"/>
  <c r="C96" i="4"/>
  <c r="I96" i="4"/>
  <c r="G96" i="4"/>
  <c r="D96" i="4"/>
  <c r="L96" i="4"/>
  <c r="N96" i="4"/>
  <c r="N63" i="4"/>
  <c r="Q63" i="4"/>
  <c r="I63" i="4"/>
  <c r="L63" i="4"/>
  <c r="K63" i="4"/>
  <c r="H63" i="4"/>
  <c r="E63" i="4"/>
  <c r="P63" i="4"/>
  <c r="G63" i="4"/>
  <c r="C63" i="4"/>
  <c r="O63" i="4"/>
  <c r="D63" i="4"/>
  <c r="J63" i="4"/>
  <c r="M63" i="4"/>
  <c r="B63" i="4"/>
  <c r="F63" i="4"/>
  <c r="I86" i="4"/>
  <c r="C86" i="4"/>
  <c r="Q86" i="4"/>
  <c r="K86" i="4"/>
  <c r="J86" i="4"/>
  <c r="P86" i="4"/>
  <c r="O86" i="4"/>
  <c r="G86" i="4"/>
  <c r="F86" i="4"/>
  <c r="L86" i="4"/>
  <c r="D86" i="4"/>
  <c r="H86" i="4"/>
  <c r="M86" i="4"/>
  <c r="B86" i="4"/>
  <c r="N86" i="4"/>
  <c r="E86" i="4"/>
  <c r="E113" i="4"/>
  <c r="P113" i="4"/>
  <c r="K113" i="4"/>
  <c r="F113" i="4"/>
  <c r="G113" i="4"/>
  <c r="M113" i="4"/>
  <c r="I113" i="4"/>
  <c r="B113" i="4"/>
  <c r="J113" i="4"/>
  <c r="D113" i="4"/>
  <c r="N113" i="4"/>
  <c r="H113" i="4"/>
  <c r="O113" i="4"/>
  <c r="L113" i="4"/>
  <c r="Q113" i="4"/>
  <c r="C113" i="4"/>
  <c r="L109" i="4"/>
  <c r="I109" i="4"/>
  <c r="M109" i="4"/>
  <c r="P109" i="4"/>
  <c r="E109" i="4"/>
  <c r="K109" i="4"/>
  <c r="B109" i="4"/>
  <c r="C109" i="4"/>
  <c r="F109" i="4"/>
  <c r="Q109" i="4"/>
  <c r="N109" i="4"/>
  <c r="H109" i="4"/>
  <c r="O109" i="4"/>
  <c r="G109" i="4"/>
  <c r="J109" i="4"/>
  <c r="D109" i="4"/>
  <c r="J72" i="4"/>
  <c r="F72" i="4"/>
  <c r="G72" i="4"/>
  <c r="N72" i="4"/>
  <c r="H72" i="4"/>
  <c r="I72" i="4"/>
  <c r="D72" i="4"/>
  <c r="L72" i="4"/>
  <c r="B72" i="4"/>
  <c r="O72" i="4"/>
  <c r="Q72" i="4"/>
  <c r="M72" i="4"/>
  <c r="P72" i="4"/>
  <c r="E72" i="4"/>
  <c r="C72" i="4"/>
  <c r="K72" i="4"/>
  <c r="B103" i="4"/>
  <c r="G103" i="4"/>
  <c r="P103" i="4"/>
  <c r="L103" i="4"/>
  <c r="D103" i="4"/>
  <c r="F103" i="4"/>
  <c r="C103" i="4"/>
  <c r="O103" i="4"/>
  <c r="M103" i="4"/>
  <c r="E103" i="4"/>
  <c r="N103" i="4"/>
  <c r="H103" i="4"/>
  <c r="J103" i="4"/>
  <c r="K103" i="4"/>
  <c r="I103" i="4"/>
  <c r="Q103" i="4"/>
  <c r="O62" i="4"/>
  <c r="H62" i="4"/>
  <c r="K62" i="4"/>
  <c r="P62" i="4"/>
  <c r="N62" i="4"/>
  <c r="D62" i="4"/>
  <c r="F62" i="4"/>
  <c r="B62" i="4"/>
  <c r="I62" i="4"/>
  <c r="L62" i="4"/>
  <c r="C62" i="4"/>
  <c r="G62" i="4"/>
  <c r="E62" i="4"/>
  <c r="J62" i="4"/>
  <c r="M62" i="4"/>
  <c r="Q62" i="4"/>
  <c r="N89" i="4"/>
  <c r="B89" i="4"/>
  <c r="E89" i="4"/>
  <c r="M89" i="4"/>
  <c r="O89" i="4"/>
  <c r="C89" i="4"/>
  <c r="F89" i="4"/>
  <c r="J89" i="4"/>
  <c r="G89" i="4"/>
  <c r="K89" i="4"/>
  <c r="H89" i="4"/>
  <c r="P89" i="4"/>
  <c r="L89" i="4"/>
  <c r="Q89" i="4"/>
  <c r="I89" i="4"/>
  <c r="D89" i="4"/>
  <c r="E64" i="4"/>
  <c r="K64" i="4"/>
  <c r="J64" i="4"/>
  <c r="H64" i="4"/>
  <c r="F64" i="4"/>
  <c r="N64" i="4"/>
  <c r="L64" i="4"/>
  <c r="I64" i="4"/>
  <c r="O64" i="4"/>
  <c r="M64" i="4"/>
  <c r="P64" i="4"/>
  <c r="B64" i="4"/>
  <c r="G64" i="4"/>
  <c r="Q64" i="4"/>
  <c r="D64" i="4"/>
  <c r="C64" i="4"/>
  <c r="N106" i="4"/>
  <c r="J106" i="4"/>
  <c r="Q106" i="4"/>
  <c r="E106" i="4"/>
  <c r="H106" i="4"/>
  <c r="B106" i="4"/>
  <c r="D106" i="4"/>
  <c r="L106" i="4"/>
  <c r="O106" i="4"/>
  <c r="F106" i="4"/>
  <c r="P106" i="4"/>
  <c r="C106" i="4"/>
  <c r="K106" i="4"/>
  <c r="M106" i="4"/>
  <c r="G106" i="4"/>
  <c r="I106" i="4"/>
  <c r="B90" i="4"/>
  <c r="L90" i="4"/>
  <c r="E90" i="4"/>
  <c r="K90" i="4"/>
  <c r="I90" i="4"/>
  <c r="C90" i="4"/>
  <c r="Q90" i="4"/>
  <c r="G90" i="4"/>
  <c r="H90" i="4"/>
  <c r="M90" i="4"/>
  <c r="P90" i="4"/>
  <c r="O90" i="4"/>
  <c r="D90" i="4"/>
  <c r="J90" i="4"/>
  <c r="N90" i="4"/>
  <c r="F90" i="4"/>
  <c r="E123" i="4"/>
  <c r="C123" i="4"/>
  <c r="L123" i="4"/>
  <c r="P123" i="4"/>
  <c r="D123" i="4"/>
  <c r="K123" i="4"/>
  <c r="H123" i="4"/>
  <c r="J123" i="4"/>
  <c r="Q123" i="4"/>
  <c r="B123" i="4"/>
  <c r="N123" i="4"/>
  <c r="G123" i="4"/>
  <c r="M123" i="4"/>
  <c r="O123" i="4"/>
  <c r="F123" i="4"/>
  <c r="I123" i="4"/>
  <c r="K125" i="4"/>
  <c r="F125" i="4"/>
  <c r="D125" i="4"/>
  <c r="P125" i="4"/>
  <c r="E125" i="4"/>
  <c r="M125" i="4"/>
  <c r="C125" i="4"/>
  <c r="N125" i="4"/>
  <c r="H125" i="4"/>
  <c r="J125" i="4"/>
  <c r="Q125" i="4"/>
  <c r="G125" i="4"/>
  <c r="B125" i="4"/>
  <c r="L125" i="4"/>
  <c r="I125" i="4"/>
  <c r="O125" i="4"/>
  <c r="B47" i="4"/>
  <c r="N47" i="4"/>
  <c r="F47" i="4"/>
  <c r="H47" i="4"/>
  <c r="I47" i="4"/>
  <c r="P47" i="4"/>
  <c r="Q47" i="4"/>
  <c r="K47" i="4"/>
  <c r="E47" i="4"/>
  <c r="C47" i="4"/>
  <c r="L47" i="4"/>
  <c r="M47" i="4"/>
  <c r="D47" i="4"/>
  <c r="G47" i="4"/>
  <c r="J47" i="4"/>
  <c r="O47" i="4"/>
  <c r="D50" i="4"/>
  <c r="C50" i="4"/>
  <c r="M50" i="4"/>
  <c r="E50" i="4"/>
  <c r="N50" i="4"/>
  <c r="I50" i="4"/>
  <c r="H50" i="4"/>
  <c r="J50" i="4"/>
  <c r="K50" i="4"/>
  <c r="O50" i="4"/>
  <c r="P50" i="4"/>
  <c r="B50" i="4"/>
  <c r="Q50" i="4"/>
  <c r="G50" i="4"/>
  <c r="F50" i="4"/>
  <c r="L50" i="4"/>
  <c r="B39" i="4"/>
  <c r="N39" i="4"/>
  <c r="F39" i="4"/>
  <c r="H39" i="4"/>
  <c r="I39" i="4"/>
  <c r="P39" i="4"/>
  <c r="Q39" i="4"/>
  <c r="K39" i="4"/>
  <c r="O39" i="4"/>
  <c r="C39" i="4"/>
  <c r="G39" i="4"/>
  <c r="J39" i="4"/>
  <c r="M39" i="4"/>
  <c r="E39" i="4"/>
  <c r="L39" i="4"/>
  <c r="D39" i="4"/>
  <c r="K4" i="10" l="1"/>
  <c r="P7" i="1" s="1"/>
  <c r="J120" i="10"/>
  <c r="R16" i="1"/>
  <c r="Q19" i="1"/>
  <c r="Q29" i="1"/>
  <c r="R15" i="1"/>
  <c r="R14" i="1"/>
  <c r="Q16" i="1"/>
  <c r="H34" i="4"/>
  <c r="R115" i="1"/>
  <c r="R21" i="1"/>
  <c r="R32" i="1"/>
  <c r="R19" i="1"/>
  <c r="Q101" i="1"/>
  <c r="A35" i="4"/>
  <c r="I35" i="4" s="1"/>
  <c r="A36" i="4"/>
  <c r="J36" i="4" s="1"/>
  <c r="A32" i="4"/>
  <c r="R27" i="1"/>
  <c r="Q27" i="1"/>
  <c r="Q71" i="1"/>
  <c r="R68" i="1"/>
  <c r="R28" i="1"/>
  <c r="R52" i="1"/>
  <c r="Q75" i="1"/>
  <c r="Q43" i="1"/>
  <c r="R86" i="1"/>
  <c r="R76" i="1"/>
  <c r="Q21" i="1"/>
  <c r="Q26" i="1"/>
  <c r="R61" i="1"/>
  <c r="Q92" i="1"/>
  <c r="Q83" i="1"/>
  <c r="R63" i="1"/>
  <c r="Q70" i="1"/>
  <c r="Q34" i="1"/>
  <c r="R34" i="1"/>
  <c r="R92" i="1"/>
  <c r="R74" i="1"/>
  <c r="R46" i="1"/>
  <c r="Q76" i="1"/>
  <c r="Q107" i="1"/>
  <c r="R22" i="1"/>
  <c r="R39" i="1"/>
  <c r="R78" i="1"/>
  <c r="R84" i="1"/>
  <c r="R88" i="1"/>
  <c r="R71" i="1"/>
  <c r="Q99" i="1"/>
  <c r="Q91" i="1"/>
  <c r="Q56" i="1"/>
  <c r="Q93" i="1"/>
  <c r="Q15" i="1"/>
  <c r="Q104" i="1"/>
  <c r="R97" i="1"/>
  <c r="R89" i="1"/>
  <c r="Q96" i="1"/>
  <c r="R77" i="1"/>
  <c r="Q103" i="1"/>
  <c r="Q95" i="1"/>
  <c r="R103" i="1"/>
  <c r="Q32" i="1"/>
  <c r="Q81" i="1"/>
  <c r="Q31" i="1"/>
  <c r="Q87" i="1"/>
  <c r="R44" i="1"/>
  <c r="Q66" i="1"/>
  <c r="R53" i="1"/>
  <c r="Q47" i="1"/>
  <c r="Q94" i="1"/>
  <c r="Q25" i="1"/>
  <c r="Q64" i="1"/>
  <c r="Q35" i="1"/>
  <c r="R110" i="1"/>
  <c r="Q23" i="1"/>
  <c r="R87" i="1"/>
  <c r="R49" i="1"/>
  <c r="R111" i="1"/>
  <c r="Q38" i="1"/>
  <c r="Q14" i="1"/>
  <c r="Q54" i="1"/>
  <c r="Q51" i="1"/>
  <c r="Q111" i="1"/>
  <c r="R33" i="1"/>
  <c r="Q17" i="1"/>
  <c r="R64" i="1"/>
  <c r="Q73" i="1"/>
  <c r="Q79" i="1"/>
  <c r="R56" i="1"/>
  <c r="R36" i="1"/>
  <c r="Q48" i="1"/>
  <c r="R67" i="1"/>
  <c r="Q58" i="1"/>
  <c r="Q55" i="1"/>
  <c r="Q42" i="1"/>
  <c r="Q59" i="1"/>
  <c r="Q114" i="1"/>
  <c r="R37" i="1"/>
  <c r="R30" i="1"/>
  <c r="Q49" i="1"/>
  <c r="R93" i="1"/>
  <c r="Q100" i="1"/>
  <c r="Q98" i="1"/>
  <c r="Q30" i="1"/>
  <c r="R109" i="1"/>
  <c r="Q108" i="1"/>
  <c r="R60" i="1"/>
  <c r="Q72" i="1"/>
  <c r="R29" i="1"/>
  <c r="Q86" i="1"/>
  <c r="Q112" i="1"/>
  <c r="Q33" i="1"/>
  <c r="R102" i="1"/>
  <c r="R18" i="1"/>
  <c r="R23" i="1"/>
  <c r="R20" i="1"/>
  <c r="R45" i="1"/>
  <c r="Q62" i="1"/>
  <c r="R55" i="1"/>
  <c r="R26" i="1"/>
  <c r="Q80" i="1"/>
  <c r="Q105" i="1"/>
  <c r="R25" i="1"/>
  <c r="Q22" i="1"/>
  <c r="R98" i="1"/>
  <c r="Q84" i="1"/>
  <c r="R73" i="1"/>
  <c r="Q60" i="1"/>
  <c r="R91" i="1"/>
  <c r="R54" i="1"/>
  <c r="Q63" i="1"/>
  <c r="Q97" i="1"/>
  <c r="Q45" i="1"/>
  <c r="R90" i="1"/>
  <c r="Q115" i="1"/>
  <c r="Q67" i="1"/>
  <c r="Q85" i="1"/>
  <c r="Q53" i="1"/>
  <c r="R83" i="1"/>
  <c r="Q65" i="1"/>
  <c r="Q37" i="1"/>
  <c r="R38" i="1"/>
  <c r="R42" i="1"/>
  <c r="R75" i="1"/>
  <c r="Q113" i="1"/>
  <c r="R72" i="1"/>
  <c r="Q52" i="1"/>
  <c r="Q90" i="1"/>
  <c r="R95" i="1"/>
  <c r="R82" i="1"/>
  <c r="R85" i="1"/>
  <c r="R101" i="1"/>
  <c r="Q24" i="1"/>
  <c r="Q20" i="1"/>
  <c r="R81" i="1"/>
  <c r="Q78" i="1"/>
  <c r="R47" i="1"/>
  <c r="Q61" i="1"/>
  <c r="Q57" i="1"/>
  <c r="R108" i="1"/>
  <c r="R94" i="1"/>
  <c r="R79" i="1"/>
  <c r="R113" i="1"/>
  <c r="R35" i="1"/>
  <c r="Q89" i="1"/>
  <c r="Q36" i="1"/>
  <c r="R80" i="1"/>
  <c r="Q82" i="1"/>
  <c r="R62" i="1"/>
  <c r="R112" i="1"/>
  <c r="R114" i="1"/>
  <c r="Q110" i="1"/>
  <c r="R51" i="1"/>
  <c r="R58" i="1"/>
  <c r="Q40" i="1"/>
  <c r="R50" i="1"/>
  <c r="R41" i="1"/>
  <c r="R59" i="1"/>
  <c r="R70" i="1"/>
  <c r="R96" i="1"/>
  <c r="Q28" i="1"/>
  <c r="R107" i="1"/>
  <c r="Q44" i="1"/>
  <c r="R105" i="1"/>
  <c r="Q18" i="1"/>
  <c r="R17" i="1"/>
  <c r="Q39" i="1"/>
  <c r="R57" i="1"/>
  <c r="Q46" i="1"/>
  <c r="Q109" i="1"/>
  <c r="R99" i="1"/>
  <c r="R106" i="1"/>
  <c r="R24" i="1"/>
  <c r="R100" i="1"/>
  <c r="R65" i="1"/>
  <c r="Q88" i="1"/>
  <c r="R31" i="1"/>
  <c r="R104" i="1"/>
  <c r="Q68" i="1"/>
  <c r="Q50" i="1"/>
  <c r="Q41" i="1"/>
  <c r="R43" i="1"/>
  <c r="R48" i="1"/>
  <c r="R69" i="1"/>
  <c r="Q69" i="1"/>
  <c r="R66" i="1"/>
  <c r="Q77" i="1"/>
  <c r="Q74" i="1"/>
  <c r="R40" i="1"/>
  <c r="Q106" i="1"/>
  <c r="Q102" i="1"/>
  <c r="A33" i="4"/>
  <c r="A31" i="4"/>
  <c r="B31" i="4" s="1"/>
  <c r="A30" i="4"/>
  <c r="H30" i="4" s="1"/>
  <c r="B34" i="4"/>
  <c r="G34" i="4"/>
  <c r="J34" i="4"/>
  <c r="I34" i="4"/>
  <c r="C34" i="4"/>
  <c r="D34" i="4"/>
  <c r="F34" i="4"/>
  <c r="E34" i="4"/>
  <c r="O34" i="4"/>
  <c r="P34" i="4"/>
  <c r="Q34" i="4"/>
  <c r="M34" i="4"/>
  <c r="K34" i="4"/>
  <c r="L34" i="4"/>
  <c r="N34" i="4"/>
  <c r="A37" i="4"/>
  <c r="F37" i="4" s="1"/>
  <c r="K120" i="10" l="1"/>
  <c r="P7" i="7" s="1"/>
  <c r="D33" i="4"/>
  <c r="B32" i="4"/>
  <c r="R9" i="1"/>
  <c r="K35" i="4"/>
  <c r="E35" i="4"/>
  <c r="D35" i="4"/>
  <c r="N35" i="4"/>
  <c r="G35" i="4"/>
  <c r="Q35" i="4"/>
  <c r="C35" i="4"/>
  <c r="O35" i="4"/>
  <c r="H35" i="4"/>
  <c r="F35" i="4"/>
  <c r="N36" i="4"/>
  <c r="P35" i="4"/>
  <c r="J35" i="4"/>
  <c r="M35" i="4"/>
  <c r="L35" i="4"/>
  <c r="B35" i="4"/>
  <c r="M36" i="4"/>
  <c r="K36" i="4"/>
  <c r="E36" i="4"/>
  <c r="F36" i="4"/>
  <c r="Q36" i="4"/>
  <c r="D36" i="4"/>
  <c r="H36" i="4"/>
  <c r="G36" i="4"/>
  <c r="B36" i="4"/>
  <c r="P36" i="4"/>
  <c r="O36" i="4"/>
  <c r="I36" i="4"/>
  <c r="L36" i="4"/>
  <c r="C36" i="4"/>
  <c r="G32" i="4"/>
  <c r="E32" i="4"/>
  <c r="D32" i="4"/>
  <c r="N32" i="4"/>
  <c r="M32" i="4"/>
  <c r="J32" i="4"/>
  <c r="K32" i="4"/>
  <c r="Q32" i="4"/>
  <c r="O32" i="4"/>
  <c r="L32" i="4"/>
  <c r="P32" i="4"/>
  <c r="I32" i="4"/>
  <c r="F32" i="4"/>
  <c r="C32" i="4"/>
  <c r="H32" i="4"/>
  <c r="Q9" i="1"/>
  <c r="G30" i="4"/>
  <c r="B30" i="4"/>
  <c r="G33" i="4"/>
  <c r="F33" i="4"/>
  <c r="O33" i="4"/>
  <c r="M33" i="4"/>
  <c r="I30" i="4"/>
  <c r="N31" i="4"/>
  <c r="O31" i="4"/>
  <c r="I31" i="4"/>
  <c r="L31" i="4"/>
  <c r="D31" i="4"/>
  <c r="F31" i="4"/>
  <c r="H31" i="4"/>
  <c r="Q31" i="4"/>
  <c r="E31" i="4"/>
  <c r="P31" i="4"/>
  <c r="G31" i="4"/>
  <c r="M31" i="4"/>
  <c r="J31" i="4"/>
  <c r="K31" i="4"/>
  <c r="C31" i="4"/>
  <c r="E33" i="4"/>
  <c r="K33" i="4"/>
  <c r="Q33" i="4"/>
  <c r="I33" i="4"/>
  <c r="L33" i="4"/>
  <c r="J33" i="4"/>
  <c r="B33" i="4"/>
  <c r="P33" i="4"/>
  <c r="N33" i="4"/>
  <c r="H33" i="4"/>
  <c r="C33" i="4"/>
  <c r="E30" i="4"/>
  <c r="L30" i="4"/>
  <c r="Q30" i="4"/>
  <c r="P30" i="4"/>
  <c r="F30" i="4"/>
  <c r="J30" i="4"/>
  <c r="N30" i="4"/>
  <c r="C30" i="4"/>
  <c r="M30" i="4"/>
  <c r="K30" i="4"/>
  <c r="D30" i="4"/>
  <c r="O30" i="4"/>
  <c r="B37" i="4"/>
  <c r="I37" i="4"/>
  <c r="E37" i="4"/>
  <c r="H37" i="4"/>
  <c r="J37" i="4"/>
  <c r="D37" i="4"/>
  <c r="G37" i="4"/>
  <c r="C37" i="4"/>
  <c r="L37" i="4"/>
  <c r="M37" i="4"/>
  <c r="O37" i="4"/>
  <c r="N37" i="4"/>
  <c r="P37" i="4"/>
  <c r="Q37" i="4"/>
  <c r="K37" i="4"/>
  <c r="K5" i="10" l="1"/>
  <c r="P8" i="1" s="1"/>
  <c r="J121" i="10"/>
  <c r="Q10" i="1"/>
  <c r="Q7" i="1"/>
  <c r="R7" i="1"/>
  <c r="R8" i="1"/>
  <c r="R10" i="1"/>
  <c r="Q11" i="1"/>
  <c r="R11" i="1"/>
  <c r="Q5" i="1"/>
  <c r="Q6" i="1"/>
  <c r="R12" i="1"/>
  <c r="Q12" i="1"/>
  <c r="R5" i="1"/>
  <c r="Q8" i="1"/>
  <c r="R6" i="1"/>
  <c r="K121" i="10" l="1"/>
  <c r="P8" i="7" s="1"/>
  <c r="K6" i="10" l="1"/>
  <c r="P9" i="1" s="1"/>
  <c r="J122" i="10"/>
  <c r="K122" i="10" l="1"/>
  <c r="P9" i="7" s="1"/>
  <c r="K7" i="10" l="1"/>
  <c r="P10" i="1" s="1"/>
  <c r="J123" i="10"/>
  <c r="K123" i="10" l="1"/>
  <c r="P10" i="7" s="1"/>
  <c r="K8" i="10" l="1"/>
  <c r="P11" i="1" s="1"/>
  <c r="J124" i="10"/>
  <c r="K124" i="10" l="1"/>
  <c r="P11" i="7" s="1"/>
  <c r="K9" i="10" l="1"/>
  <c r="P12" i="1" s="1"/>
  <c r="J125" i="10"/>
  <c r="K125" i="10" l="1"/>
  <c r="P12" i="7" s="1"/>
  <c r="K10" i="10" l="1"/>
  <c r="P13" i="1" s="1"/>
  <c r="J126" i="10"/>
  <c r="K126" i="10" l="1"/>
  <c r="P13" i="7" s="1"/>
  <c r="K11" i="10" l="1"/>
  <c r="P14" i="1" s="1"/>
  <c r="J127" i="10"/>
  <c r="K127" i="10" l="1"/>
  <c r="P14" i="7" s="1"/>
  <c r="K12" i="10" l="1"/>
  <c r="P15" i="1" s="1"/>
  <c r="J128" i="10"/>
  <c r="K128" i="10" l="1"/>
  <c r="P15" i="7" s="1"/>
  <c r="K13" i="10" l="1"/>
  <c r="P16" i="1" s="1"/>
  <c r="J129" i="10"/>
  <c r="K129" i="10" l="1"/>
  <c r="P16" i="7" s="1"/>
  <c r="K14" i="10" l="1"/>
  <c r="P17" i="1" s="1"/>
  <c r="J130" i="10"/>
  <c r="K130" i="10" l="1"/>
  <c r="P17" i="7" s="1"/>
  <c r="K15" i="10" l="1"/>
  <c r="P18" i="1" s="1"/>
  <c r="J131" i="10"/>
  <c r="K131" i="10" l="1"/>
  <c r="P18" i="7" s="1"/>
  <c r="K16" i="10" l="1"/>
  <c r="P19" i="1" s="1"/>
  <c r="J132" i="10"/>
  <c r="K132" i="10" l="1"/>
  <c r="P19" i="7" s="1"/>
  <c r="K17" i="10" l="1"/>
  <c r="P20" i="1" s="1"/>
  <c r="J133" i="10"/>
  <c r="K133" i="10" l="1"/>
  <c r="P20" i="7" s="1"/>
  <c r="K18" i="10" l="1"/>
  <c r="P21" i="1" s="1"/>
  <c r="J134" i="10"/>
  <c r="K134" i="10" l="1"/>
  <c r="P21" i="7" s="1"/>
  <c r="K19" i="10" l="1"/>
  <c r="P22" i="1" s="1"/>
  <c r="J135" i="10"/>
  <c r="K135" i="10" l="1"/>
  <c r="P22" i="7" s="1"/>
  <c r="K20" i="10" l="1"/>
  <c r="P23" i="1" s="1"/>
  <c r="J136" i="10"/>
  <c r="K136" i="10" l="1"/>
  <c r="P23" i="7" s="1"/>
  <c r="K21" i="10" l="1"/>
  <c r="P24" i="1" s="1"/>
  <c r="J137" i="10"/>
  <c r="K137" i="10" l="1"/>
  <c r="P24" i="7" s="1"/>
  <c r="K22" i="10" l="1"/>
  <c r="P25" i="1" s="1"/>
  <c r="J138" i="10"/>
  <c r="K138" i="10" l="1"/>
  <c r="P25" i="7" s="1"/>
  <c r="K23" i="10" l="1"/>
  <c r="P26" i="1" s="1"/>
  <c r="J139" i="10"/>
  <c r="K139" i="10" l="1"/>
  <c r="P26" i="7" s="1"/>
  <c r="K24" i="10" l="1"/>
  <c r="P27" i="1" s="1"/>
  <c r="J140" i="10"/>
  <c r="K140" i="10" l="1"/>
  <c r="P27" i="7" s="1"/>
  <c r="K25" i="10" l="1"/>
  <c r="P28" i="1" s="1"/>
  <c r="J141" i="10"/>
  <c r="K141" i="10" l="1"/>
  <c r="P28" i="7" s="1"/>
  <c r="K26" i="10" l="1"/>
  <c r="P29" i="1" s="1"/>
  <c r="J142" i="10"/>
  <c r="K142" i="10" l="1"/>
  <c r="P29" i="7" s="1"/>
  <c r="K27" i="10" l="1"/>
  <c r="P30" i="1" s="1"/>
  <c r="J143" i="10"/>
  <c r="K143" i="10" l="1"/>
  <c r="P30" i="7" s="1"/>
  <c r="K28" i="10" l="1"/>
  <c r="P31" i="1" s="1"/>
  <c r="J144" i="10"/>
  <c r="K144" i="10" l="1"/>
  <c r="P31" i="7" s="1"/>
  <c r="K29" i="10" l="1"/>
  <c r="P32" i="1" s="1"/>
  <c r="J145" i="10"/>
  <c r="K145" i="10" l="1"/>
  <c r="P32" i="7" s="1"/>
  <c r="K30" i="10" l="1"/>
  <c r="P33" i="1" s="1"/>
  <c r="J146" i="10"/>
  <c r="K146" i="10" l="1"/>
  <c r="P33" i="7" s="1"/>
  <c r="K31" i="10" l="1"/>
  <c r="P34" i="1" s="1"/>
  <c r="J147" i="10"/>
  <c r="K147" i="10" l="1"/>
  <c r="P34" i="7" s="1"/>
  <c r="K32" i="10" l="1"/>
  <c r="P35" i="1" s="1"/>
  <c r="J148" i="10"/>
  <c r="K148" i="10" l="1"/>
  <c r="P35" i="7" s="1"/>
  <c r="K33" i="10" l="1"/>
  <c r="P36" i="1" s="1"/>
  <c r="J149" i="10"/>
  <c r="K149" i="10" l="1"/>
  <c r="P36" i="7" s="1"/>
  <c r="K34" i="10" l="1"/>
  <c r="P37" i="1" s="1"/>
  <c r="J150" i="10"/>
  <c r="K150" i="10" l="1"/>
  <c r="P37" i="7" s="1"/>
  <c r="K35" i="10" l="1"/>
  <c r="P38" i="1" s="1"/>
  <c r="J151" i="10"/>
  <c r="K151" i="10" l="1"/>
  <c r="P38" i="7" s="1"/>
  <c r="K36" i="10" l="1"/>
  <c r="P39" i="1" s="1"/>
  <c r="J152" i="10"/>
  <c r="K152" i="10" l="1"/>
  <c r="P39" i="7" s="1"/>
  <c r="K37" i="10" l="1"/>
  <c r="P40" i="1" s="1"/>
  <c r="J153" i="10"/>
  <c r="K153" i="10" l="1"/>
  <c r="P40" i="7" s="1"/>
  <c r="K38" i="10" l="1"/>
  <c r="P41" i="1" s="1"/>
  <c r="J154" i="10"/>
  <c r="K154" i="10" l="1"/>
  <c r="P41" i="7" s="1"/>
  <c r="K39" i="10" l="1"/>
  <c r="P42" i="1" s="1"/>
  <c r="J155" i="10"/>
  <c r="K155" i="10" l="1"/>
  <c r="P42" i="7" s="1"/>
  <c r="K40" i="10" l="1"/>
  <c r="P43" i="1" s="1"/>
  <c r="J156" i="10"/>
  <c r="K156" i="10" l="1"/>
  <c r="P43" i="7" s="1"/>
  <c r="K41" i="10" l="1"/>
  <c r="P44" i="1" s="1"/>
  <c r="J157" i="10"/>
  <c r="K157" i="10" l="1"/>
  <c r="P44" i="7" s="1"/>
  <c r="K42" i="10" l="1"/>
  <c r="P45" i="1" s="1"/>
  <c r="J158" i="10"/>
  <c r="K158" i="10" l="1"/>
  <c r="P45" i="7" s="1"/>
  <c r="K43" i="10" l="1"/>
  <c r="P46" i="1" s="1"/>
  <c r="J159" i="10"/>
  <c r="K159" i="10" l="1"/>
  <c r="P46" i="7" s="1"/>
  <c r="K44" i="10" l="1"/>
  <c r="P47" i="1" s="1"/>
  <c r="J160" i="10"/>
  <c r="K160" i="10" l="1"/>
  <c r="P47" i="7" s="1"/>
  <c r="K45" i="10" l="1"/>
  <c r="P48" i="1" s="1"/>
  <c r="J161" i="10"/>
  <c r="K161" i="10" l="1"/>
  <c r="P48" i="7" s="1"/>
  <c r="K46" i="10" l="1"/>
  <c r="P49" i="1" s="1"/>
  <c r="J162" i="10"/>
  <c r="K162" i="10" l="1"/>
  <c r="P49" i="7" s="1"/>
  <c r="K47" i="10" l="1"/>
  <c r="P50" i="1" s="1"/>
  <c r="J163" i="10"/>
  <c r="K163" i="10" l="1"/>
  <c r="P50" i="7" s="1"/>
  <c r="K48" i="10" l="1"/>
  <c r="P51" i="1" s="1"/>
  <c r="J164" i="10"/>
  <c r="K164" i="10" l="1"/>
  <c r="P51" i="7" s="1"/>
  <c r="K49" i="10" l="1"/>
  <c r="P52" i="1" s="1"/>
  <c r="J165" i="10"/>
  <c r="K165" i="10" l="1"/>
  <c r="P52" i="7" s="1"/>
  <c r="K50" i="10" l="1"/>
  <c r="P53" i="1" s="1"/>
  <c r="J166" i="10"/>
  <c r="K166" i="10" l="1"/>
  <c r="P53" i="7" s="1"/>
  <c r="K51" i="10" l="1"/>
  <c r="P54" i="1" s="1"/>
  <c r="J167" i="10"/>
  <c r="K167" i="10" l="1"/>
  <c r="P54" i="7" s="1"/>
  <c r="K52" i="10" l="1"/>
  <c r="P55" i="1" s="1"/>
  <c r="J168" i="10"/>
  <c r="K168" i="10" l="1"/>
  <c r="P55" i="7" s="1"/>
  <c r="K53" i="10" l="1"/>
  <c r="P56" i="1" s="1"/>
  <c r="J169" i="10"/>
  <c r="K169" i="10" l="1"/>
  <c r="P56" i="7" s="1"/>
  <c r="K54" i="10" l="1"/>
  <c r="P57" i="1" s="1"/>
  <c r="J170" i="10"/>
  <c r="K170" i="10" l="1"/>
  <c r="P57" i="7" s="1"/>
  <c r="K55" i="10" l="1"/>
  <c r="P58" i="1" s="1"/>
  <c r="J171" i="10"/>
  <c r="K171" i="10" l="1"/>
  <c r="P58" i="7" s="1"/>
  <c r="K56" i="10" l="1"/>
  <c r="P59" i="1" s="1"/>
  <c r="J172" i="10"/>
  <c r="K172" i="10" l="1"/>
  <c r="P59" i="7" s="1"/>
  <c r="K57" i="10" l="1"/>
  <c r="P60" i="1" s="1"/>
  <c r="J173" i="10"/>
  <c r="K173" i="10" l="1"/>
  <c r="P60" i="7" s="1"/>
  <c r="K58" i="10" l="1"/>
  <c r="P61" i="1" s="1"/>
  <c r="J174" i="10"/>
  <c r="K174" i="10" l="1"/>
  <c r="P61" i="7" s="1"/>
  <c r="K59" i="10" l="1"/>
  <c r="P62" i="1" s="1"/>
  <c r="J175" i="10"/>
  <c r="K175" i="10" l="1"/>
  <c r="P62" i="7" s="1"/>
  <c r="K60" i="10" l="1"/>
  <c r="P63" i="1" s="1"/>
  <c r="J176" i="10"/>
  <c r="K176" i="10" l="1"/>
  <c r="P63" i="7" s="1"/>
  <c r="K61" i="10" l="1"/>
  <c r="P64" i="1" s="1"/>
  <c r="J177" i="10"/>
  <c r="K177" i="10" l="1"/>
  <c r="P64" i="7" s="1"/>
  <c r="K62" i="10" l="1"/>
  <c r="P65" i="1" s="1"/>
  <c r="J178" i="10"/>
  <c r="K178" i="10" l="1"/>
  <c r="P65" i="7" s="1"/>
  <c r="K63" i="10" l="1"/>
  <c r="P66" i="1" s="1"/>
  <c r="J179" i="10"/>
  <c r="K179" i="10" l="1"/>
  <c r="P66" i="7" s="1"/>
  <c r="K64" i="10" l="1"/>
  <c r="P67" i="1" s="1"/>
  <c r="J180" i="10"/>
  <c r="K180" i="10" l="1"/>
  <c r="P67" i="7" s="1"/>
  <c r="K65" i="10" l="1"/>
  <c r="P68" i="1" s="1"/>
  <c r="J181" i="10"/>
  <c r="K181" i="10" l="1"/>
  <c r="P68" i="7" s="1"/>
  <c r="K66" i="10" l="1"/>
  <c r="P69" i="1" s="1"/>
  <c r="J182" i="10"/>
  <c r="K182" i="10" l="1"/>
  <c r="P69" i="7" s="1"/>
  <c r="K67" i="10" l="1"/>
  <c r="P70" i="1" s="1"/>
  <c r="J183" i="10"/>
  <c r="K183" i="10" l="1"/>
  <c r="P70" i="7" s="1"/>
  <c r="K68" i="10" l="1"/>
  <c r="P71" i="1" s="1"/>
  <c r="J184" i="10"/>
  <c r="K184" i="10" l="1"/>
  <c r="P71" i="7" s="1"/>
  <c r="K69" i="10" l="1"/>
  <c r="P72" i="1" s="1"/>
  <c r="J185" i="10"/>
  <c r="K185" i="10" l="1"/>
  <c r="P72" i="7" s="1"/>
  <c r="K70" i="10" l="1"/>
  <c r="P73" i="1" s="1"/>
  <c r="J186" i="10"/>
  <c r="K186" i="10" l="1"/>
  <c r="P73" i="7" s="1"/>
  <c r="K71" i="10" l="1"/>
  <c r="P74" i="1" s="1"/>
  <c r="J187" i="10"/>
  <c r="K187" i="10" l="1"/>
  <c r="P74" i="7" s="1"/>
  <c r="K72" i="10" l="1"/>
  <c r="P75" i="1" s="1"/>
  <c r="J188" i="10"/>
  <c r="K188" i="10" l="1"/>
  <c r="P75" i="7" s="1"/>
  <c r="K73" i="10" l="1"/>
  <c r="P76" i="1" s="1"/>
  <c r="J189" i="10"/>
  <c r="K189" i="10" l="1"/>
  <c r="P76" i="7" s="1"/>
  <c r="K74" i="10" l="1"/>
  <c r="P77" i="1" s="1"/>
  <c r="J190" i="10"/>
  <c r="K190" i="10" l="1"/>
  <c r="P77" i="7" s="1"/>
  <c r="K75" i="10" l="1"/>
  <c r="P78" i="1" s="1"/>
  <c r="J191" i="10"/>
  <c r="K191" i="10" l="1"/>
  <c r="P78" i="7" s="1"/>
  <c r="K76" i="10" l="1"/>
  <c r="P79" i="1" s="1"/>
  <c r="J192" i="10"/>
  <c r="K192" i="10" l="1"/>
  <c r="P79" i="7" s="1"/>
  <c r="K77" i="10" l="1"/>
  <c r="P80" i="1" s="1"/>
  <c r="J193" i="10"/>
  <c r="K193" i="10" l="1"/>
  <c r="P80" i="7" s="1"/>
  <c r="K78" i="10" l="1"/>
  <c r="P81" i="1" s="1"/>
  <c r="J194" i="10"/>
  <c r="K194" i="10" l="1"/>
  <c r="P81" i="7" s="1"/>
  <c r="K79" i="10" l="1"/>
  <c r="P82" i="1" s="1"/>
  <c r="J195" i="10"/>
  <c r="K195" i="10" l="1"/>
  <c r="P82" i="7" s="1"/>
  <c r="K80" i="10" l="1"/>
  <c r="P83" i="1" s="1"/>
  <c r="J196" i="10"/>
  <c r="K196" i="10" l="1"/>
  <c r="P83" i="7" s="1"/>
  <c r="K81" i="10" l="1"/>
  <c r="P84" i="1" s="1"/>
  <c r="J197" i="10"/>
  <c r="K197" i="10" l="1"/>
  <c r="P84" i="7" s="1"/>
  <c r="K82" i="10" l="1"/>
  <c r="P85" i="1" s="1"/>
  <c r="J198" i="10"/>
  <c r="K198" i="10" l="1"/>
  <c r="P85" i="7" s="1"/>
  <c r="K83" i="10" l="1"/>
  <c r="P86" i="1" s="1"/>
  <c r="J199" i="10"/>
  <c r="K199" i="10" l="1"/>
  <c r="P86" i="7" s="1"/>
  <c r="K84" i="10" l="1"/>
  <c r="P87" i="1" s="1"/>
  <c r="J200" i="10"/>
  <c r="K200" i="10" l="1"/>
  <c r="P87" i="7" s="1"/>
  <c r="K85" i="10" l="1"/>
  <c r="P88" i="1" s="1"/>
  <c r="J201" i="10"/>
  <c r="K201" i="10" l="1"/>
  <c r="P88" i="7" s="1"/>
  <c r="K86" i="10" l="1"/>
  <c r="P89" i="1" s="1"/>
  <c r="J202" i="10"/>
  <c r="K202" i="10" l="1"/>
  <c r="P89" i="7" s="1"/>
  <c r="K87" i="10" l="1"/>
  <c r="P90" i="1" s="1"/>
  <c r="J203" i="10"/>
  <c r="K203" i="10" l="1"/>
  <c r="P90" i="7" s="1"/>
  <c r="K88" i="10" l="1"/>
  <c r="P91" i="1" s="1"/>
  <c r="J204" i="10"/>
  <c r="K204" i="10" l="1"/>
  <c r="P91" i="7" s="1"/>
  <c r="K89" i="10" l="1"/>
  <c r="P92" i="1" s="1"/>
  <c r="J205" i="10"/>
  <c r="K205" i="10" l="1"/>
  <c r="P92" i="7" s="1"/>
  <c r="K90" i="10" l="1"/>
  <c r="P93" i="1" s="1"/>
  <c r="J206" i="10"/>
  <c r="K206" i="10" l="1"/>
  <c r="P93" i="7" s="1"/>
  <c r="K91" i="10" l="1"/>
  <c r="P94" i="1" s="1"/>
  <c r="J207" i="10"/>
  <c r="K207" i="10" l="1"/>
  <c r="P94" i="7" s="1"/>
  <c r="K92" i="10" l="1"/>
  <c r="P95" i="1" s="1"/>
  <c r="J208" i="10"/>
  <c r="K208" i="10" l="1"/>
  <c r="P95" i="7" s="1"/>
  <c r="K93" i="10" l="1"/>
  <c r="P96" i="1" s="1"/>
  <c r="J209" i="10"/>
  <c r="K209" i="10" l="1"/>
  <c r="P96" i="7" s="1"/>
  <c r="K94" i="10" l="1"/>
  <c r="P97" i="1" s="1"/>
  <c r="J210" i="10"/>
  <c r="K210" i="10" l="1"/>
  <c r="P97" i="7" s="1"/>
  <c r="K95" i="10" l="1"/>
  <c r="P98" i="1" s="1"/>
  <c r="J211" i="10"/>
  <c r="K211" i="10" l="1"/>
  <c r="P98" i="7" s="1"/>
  <c r="K96" i="10" l="1"/>
  <c r="P99" i="1" s="1"/>
  <c r="J212" i="10"/>
  <c r="K212" i="10" l="1"/>
  <c r="P99" i="7" s="1"/>
  <c r="K97" i="10" l="1"/>
  <c r="P100" i="1" s="1"/>
  <c r="J213" i="10"/>
  <c r="K213" i="10" l="1"/>
  <c r="P100" i="7" s="1"/>
  <c r="K98" i="10" l="1"/>
  <c r="P101" i="1" s="1"/>
  <c r="J214" i="10"/>
  <c r="K214" i="10" l="1"/>
  <c r="P101" i="7" s="1"/>
  <c r="K99" i="10" l="1"/>
  <c r="P102" i="1" s="1"/>
  <c r="J215" i="10"/>
  <c r="K215" i="10" l="1"/>
  <c r="P102" i="7" s="1"/>
  <c r="K100" i="10" l="1"/>
  <c r="P103" i="1" s="1"/>
  <c r="J216" i="10"/>
  <c r="K216" i="10" l="1"/>
  <c r="P103" i="7" s="1"/>
  <c r="K101" i="10" l="1"/>
  <c r="P104" i="1" s="1"/>
  <c r="J217" i="10"/>
  <c r="K217" i="10" l="1"/>
  <c r="P104" i="7" s="1"/>
  <c r="K102" i="10" l="1"/>
  <c r="P105" i="1" s="1"/>
  <c r="J218" i="10"/>
  <c r="K218" i="10" l="1"/>
  <c r="P105" i="7" s="1"/>
  <c r="K103" i="10" l="1"/>
  <c r="P106" i="1" s="1"/>
  <c r="J219" i="10"/>
  <c r="K219" i="10" l="1"/>
  <c r="P106" i="7" s="1"/>
  <c r="K104" i="10" l="1"/>
  <c r="P107" i="1" s="1"/>
  <c r="J220" i="10"/>
  <c r="K220" i="10" l="1"/>
  <c r="P107" i="7" s="1"/>
  <c r="K105" i="10" l="1"/>
  <c r="P108" i="1" s="1"/>
  <c r="J221" i="10"/>
  <c r="K221" i="10" l="1"/>
  <c r="P108" i="7" s="1"/>
  <c r="K106" i="10" l="1"/>
  <c r="P109" i="1" s="1"/>
  <c r="J222" i="10"/>
  <c r="K222" i="10" l="1"/>
  <c r="P109" i="7" s="1"/>
  <c r="K107" i="10" l="1"/>
  <c r="P110" i="1" s="1"/>
  <c r="J223" i="10"/>
  <c r="K223" i="10" l="1"/>
  <c r="P110" i="7" s="1"/>
  <c r="K108" i="10" l="1"/>
  <c r="P111" i="1" s="1"/>
  <c r="J224" i="10"/>
  <c r="K224" i="10" l="1"/>
  <c r="P111" i="7" s="1"/>
  <c r="K109" i="10" l="1"/>
  <c r="P112" i="1" s="1"/>
  <c r="J225" i="10"/>
  <c r="K225" i="10" l="1"/>
  <c r="P112" i="7" s="1"/>
  <c r="K110" i="10" l="1"/>
  <c r="P113" i="1" s="1"/>
  <c r="J226" i="10"/>
  <c r="K226" i="10" l="1"/>
  <c r="P113" i="7" s="1"/>
  <c r="K111" i="10" l="1"/>
  <c r="P114" i="1" s="1"/>
  <c r="J227" i="10"/>
  <c r="K227" i="10" l="1"/>
  <c r="P114" i="7" s="1"/>
  <c r="K112" i="10" l="1"/>
  <c r="P115" i="1" s="1"/>
  <c r="J228" i="10"/>
  <c r="K228" i="10" l="1"/>
  <c r="P115" i="7" s="1"/>
  <c r="G121" i="1" l="1"/>
  <c r="G122" i="7" l="1"/>
  <c r="G123" i="7" l="1"/>
  <c r="G124" i="7" l="1"/>
  <c r="G125" i="7" l="1"/>
  <c r="G126" i="7" l="1"/>
  <c r="G127" i="7" l="1"/>
  <c r="G128" i="7" l="1"/>
  <c r="G129" i="7" l="1"/>
  <c r="G130" i="7" l="1"/>
  <c r="G131" i="7" l="1"/>
  <c r="G132" i="7" l="1"/>
  <c r="G134" i="7" l="1"/>
  <c r="G135" i="7" l="1"/>
  <c r="G136" i="7" l="1"/>
  <c r="G137" i="7" l="1"/>
  <c r="G138" i="7" l="1"/>
  <c r="G139" i="7" l="1"/>
  <c r="G133" i="7" l="1"/>
  <c r="F121" i="7"/>
  <c r="L5" i="7"/>
  <c r="H7" i="17" s="1"/>
  <c r="L6" i="7"/>
  <c r="B2" i="10"/>
  <c r="M3" i="10" l="1"/>
  <c r="H8" i="17"/>
  <c r="E2" i="10"/>
  <c r="F2" i="10" s="1"/>
  <c r="L2" i="10"/>
  <c r="M2" i="10"/>
  <c r="N2" i="10" s="1"/>
  <c r="Q5" i="7" l="1"/>
  <c r="T2" i="10"/>
  <c r="O2" i="10"/>
  <c r="P2" i="10" s="1"/>
  <c r="X2" i="10"/>
  <c r="H5" i="7"/>
  <c r="F19" i="18" s="1"/>
  <c r="G2" i="10"/>
  <c r="H2" i="10" s="1"/>
  <c r="I2" i="10" s="1"/>
  <c r="F7" i="17" l="1"/>
  <c r="F6" i="7"/>
  <c r="D8" i="17" s="1"/>
  <c r="K7" i="17"/>
  <c r="K5" i="7"/>
  <c r="G19" i="18" s="1"/>
  <c r="U2" i="10"/>
  <c r="I5" i="7"/>
  <c r="H121" i="7"/>
  <c r="J5" i="7"/>
  <c r="E7" i="17" s="1"/>
  <c r="R5" i="7"/>
  <c r="J7" i="17" s="1"/>
  <c r="Y2" i="10"/>
  <c r="Q2" i="10"/>
  <c r="R2" i="10" s="1"/>
  <c r="S2" i="10" s="1"/>
  <c r="C7" i="17" l="1"/>
  <c r="D19" i="18"/>
  <c r="G7" i="17"/>
  <c r="S5" i="7"/>
  <c r="O5" i="7"/>
  <c r="I121" i="7"/>
  <c r="T5" i="7"/>
  <c r="L7" i="17" s="1"/>
  <c r="B3" i="10"/>
  <c r="E3" i="10" l="1"/>
  <c r="F3" i="10" s="1"/>
  <c r="L3" i="10"/>
  <c r="N3" i="10"/>
  <c r="H6" i="7" l="1"/>
  <c r="O3" i="10"/>
  <c r="P3" i="10" s="1"/>
  <c r="X3" i="10"/>
  <c r="G3" i="10"/>
  <c r="H3" i="10" s="1"/>
  <c r="I3" i="10" s="1"/>
  <c r="Q6" i="7"/>
  <c r="T3" i="10"/>
  <c r="F7" i="7" l="1"/>
  <c r="D9" i="17" s="1"/>
  <c r="K8" i="17"/>
  <c r="J6" i="7"/>
  <c r="E8" i="17" s="1"/>
  <c r="F8" i="17"/>
  <c r="I6" i="7"/>
  <c r="C8" i="17" s="1"/>
  <c r="K6" i="7"/>
  <c r="G8" i="17" s="1"/>
  <c r="Y3" i="10"/>
  <c r="R6" i="7"/>
  <c r="J8" i="17" s="1"/>
  <c r="U3" i="10"/>
  <c r="Q3" i="10"/>
  <c r="R3" i="10" s="1"/>
  <c r="S3" i="10" s="1"/>
  <c r="B4" i="10" l="1"/>
  <c r="E4" i="10" s="1"/>
  <c r="F4" i="10" s="1"/>
  <c r="L7" i="7"/>
  <c r="M4" i="10" s="1"/>
  <c r="T6" i="7"/>
  <c r="L8" i="17" s="1"/>
  <c r="S6" i="7"/>
  <c r="O6" i="7"/>
  <c r="H9" i="17" l="1"/>
  <c r="L4" i="10"/>
  <c r="G4" i="10" s="1"/>
  <c r="H4" i="10" s="1"/>
  <c r="I4" i="10" s="1"/>
  <c r="N4" i="10"/>
  <c r="T4" i="10" s="1"/>
  <c r="X4" i="10" l="1"/>
  <c r="K7" i="7" s="1"/>
  <c r="G9" i="17" s="1"/>
  <c r="H7" i="7"/>
  <c r="J7" i="7" s="1"/>
  <c r="E9" i="17" s="1"/>
  <c r="O4" i="10"/>
  <c r="P4" i="10" s="1"/>
  <c r="Q4" i="10" s="1"/>
  <c r="R4" i="10" s="1"/>
  <c r="S4" i="10" s="1"/>
  <c r="Q7" i="7"/>
  <c r="K9" i="17" s="1"/>
  <c r="I7" i="7"/>
  <c r="C9" i="17" s="1"/>
  <c r="Y4" i="10"/>
  <c r="U4" i="10"/>
  <c r="R7" i="7"/>
  <c r="J9" i="17" s="1"/>
  <c r="F8" i="7" l="1"/>
  <c r="D10" i="17" s="1"/>
  <c r="F9" i="17"/>
  <c r="T7" i="7"/>
  <c r="L9" i="17" s="1"/>
  <c r="S7" i="7"/>
  <c r="O7" i="7"/>
  <c r="B5" i="10" l="1"/>
  <c r="L5" i="10" s="1"/>
  <c r="H8" i="7" s="1"/>
  <c r="L8" i="7"/>
  <c r="M5" i="10" s="1"/>
  <c r="H10" i="17" l="1"/>
  <c r="X5" i="10"/>
  <c r="E5" i="10"/>
  <c r="F5" i="10" s="1"/>
  <c r="G5" i="10" s="1"/>
  <c r="H5" i="10" s="1"/>
  <c r="I5" i="10" s="1"/>
  <c r="I8" i="7" s="1"/>
  <c r="C10" i="17" s="1"/>
  <c r="N5" i="10"/>
  <c r="O5" i="10" s="1"/>
  <c r="P5" i="10" s="1"/>
  <c r="J8" i="7"/>
  <c r="E10" i="17" s="1"/>
  <c r="F10" i="17"/>
  <c r="K8" i="7"/>
  <c r="G10" i="17" s="1"/>
  <c r="T5" i="10" l="1"/>
  <c r="Y5" i="10" s="1"/>
  <c r="T8" i="7" s="1"/>
  <c r="L10" i="17" s="1"/>
  <c r="Q8" i="7"/>
  <c r="K10" i="17" s="1"/>
  <c r="U5" i="10" l="1"/>
  <c r="O8" i="7" s="1"/>
  <c r="Q5" i="10"/>
  <c r="R5" i="10" s="1"/>
  <c r="S5" i="10" s="1"/>
  <c r="S8" i="7" s="1"/>
  <c r="R8" i="7"/>
  <c r="J10" i="17" s="1"/>
  <c r="F9" i="7"/>
  <c r="D11" i="17" s="1"/>
  <c r="B6" i="10" l="1"/>
  <c r="E6" i="10" s="1"/>
  <c r="F6" i="10" s="1"/>
  <c r="L9" i="7"/>
  <c r="M6" i="10" s="1"/>
  <c r="L6" i="10" l="1"/>
  <c r="X6" i="10" s="1"/>
  <c r="K9" i="7" s="1"/>
  <c r="G11" i="17" s="1"/>
  <c r="N6" i="10"/>
  <c r="Q9" i="7" s="1"/>
  <c r="K11" i="17" s="1"/>
  <c r="H11" i="17"/>
  <c r="F10" i="7" l="1"/>
  <c r="E20" i="18" s="1"/>
  <c r="T6" i="10"/>
  <c r="Y6" i="10" s="1"/>
  <c r="T9" i="7" s="1"/>
  <c r="L11" i="17" s="1"/>
  <c r="O6" i="10"/>
  <c r="P6" i="10" s="1"/>
  <c r="H9" i="7"/>
  <c r="J9" i="7" s="1"/>
  <c r="E11" i="17" s="1"/>
  <c r="G6" i="10"/>
  <c r="H6" i="10" s="1"/>
  <c r="I6" i="10" s="1"/>
  <c r="I9" i="7" s="1"/>
  <c r="C11" i="17" s="1"/>
  <c r="L10" i="7" l="1"/>
  <c r="F122" i="7"/>
  <c r="B7" i="10"/>
  <c r="E7" i="10" s="1"/>
  <c r="F7" i="10" s="1"/>
  <c r="D12" i="17"/>
  <c r="R9" i="7"/>
  <c r="J11" i="17" s="1"/>
  <c r="U6" i="10"/>
  <c r="O9" i="7" s="1"/>
  <c r="Q6" i="10"/>
  <c r="R6" i="10" s="1"/>
  <c r="S6" i="10" s="1"/>
  <c r="S9" i="7" s="1"/>
  <c r="F11" i="17"/>
  <c r="M7" i="10"/>
  <c r="H12" i="17"/>
  <c r="L7" i="10"/>
  <c r="N7" i="10" l="1"/>
  <c r="Q10" i="7" s="1"/>
  <c r="H10" i="7"/>
  <c r="F20" i="18" s="1"/>
  <c r="X7" i="10"/>
  <c r="G7" i="10"/>
  <c r="H7" i="10" s="1"/>
  <c r="I7" i="10" s="1"/>
  <c r="T7" i="10" l="1"/>
  <c r="O7" i="10"/>
  <c r="P7" i="10" s="1"/>
  <c r="F12" i="17"/>
  <c r="F11" i="7"/>
  <c r="D13" i="17" s="1"/>
  <c r="K12" i="17"/>
  <c r="K10" i="7"/>
  <c r="G20" i="18" s="1"/>
  <c r="R10" i="7"/>
  <c r="J12" i="17" s="1"/>
  <c r="I10" i="7"/>
  <c r="D20" i="18" s="1"/>
  <c r="H122" i="7"/>
  <c r="J10" i="7"/>
  <c r="E12" i="17" s="1"/>
  <c r="Y7" i="10"/>
  <c r="Q7" i="10"/>
  <c r="R7" i="10" s="1"/>
  <c r="S7" i="10" s="1"/>
  <c r="U7" i="10"/>
  <c r="B8" i="10" l="1"/>
  <c r="E8" i="10" s="1"/>
  <c r="F8" i="10" s="1"/>
  <c r="L11" i="7"/>
  <c r="M8" i="10" s="1"/>
  <c r="G12" i="17"/>
  <c r="I122" i="7"/>
  <c r="C12" i="17"/>
  <c r="O10" i="7"/>
  <c r="T10" i="7"/>
  <c r="L12" i="17" s="1"/>
  <c r="S10" i="7"/>
  <c r="L8" i="10" l="1"/>
  <c r="H11" i="7" s="1"/>
  <c r="N8" i="10"/>
  <c r="O8" i="10" s="1"/>
  <c r="P8" i="10" s="1"/>
  <c r="H13" i="17"/>
  <c r="T8" i="10" l="1"/>
  <c r="Y8" i="10" s="1"/>
  <c r="Q11" i="7"/>
  <c r="K13" i="17" s="1"/>
  <c r="G8" i="10"/>
  <c r="H8" i="10" s="1"/>
  <c r="I8" i="10" s="1"/>
  <c r="I11" i="7" s="1"/>
  <c r="C13" i="17" s="1"/>
  <c r="X8" i="10"/>
  <c r="J11" i="7"/>
  <c r="E13" i="17" s="1"/>
  <c r="F13" i="17"/>
  <c r="K11" i="7"/>
  <c r="G13" i="17" s="1"/>
  <c r="Q8" i="10" l="1"/>
  <c r="R8" i="10" s="1"/>
  <c r="S8" i="10" s="1"/>
  <c r="S11" i="7" s="1"/>
  <c r="U8" i="10"/>
  <c r="O11" i="7" s="1"/>
  <c r="F12" i="7"/>
  <c r="D14" i="17" s="1"/>
  <c r="R11" i="7"/>
  <c r="J13" i="17" s="1"/>
  <c r="T11" i="7"/>
  <c r="L13" i="17" s="1"/>
  <c r="L12" i="7" l="1"/>
  <c r="H14" i="17" s="1"/>
  <c r="B9" i="10"/>
  <c r="L9" i="10" s="1"/>
  <c r="E9" i="10" l="1"/>
  <c r="F9" i="10" s="1"/>
  <c r="G9" i="10" s="1"/>
  <c r="H9" i="10" s="1"/>
  <c r="I9" i="10" s="1"/>
  <c r="M9" i="10"/>
  <c r="N9" i="10" s="1"/>
  <c r="O9" i="10" s="1"/>
  <c r="P9" i="10" s="1"/>
  <c r="H12" i="7"/>
  <c r="X9" i="10"/>
  <c r="T9" i="10" l="1"/>
  <c r="Y9" i="10" s="1"/>
  <c r="Q12" i="7"/>
  <c r="K14" i="17" s="1"/>
  <c r="J12" i="7"/>
  <c r="E14" i="17" s="1"/>
  <c r="F14" i="17"/>
  <c r="I12" i="7"/>
  <c r="C14" i="17" s="1"/>
  <c r="K12" i="7"/>
  <c r="G14" i="17" s="1"/>
  <c r="F13" i="7" l="1"/>
  <c r="D15" i="17" s="1"/>
  <c r="Q9" i="10"/>
  <c r="R9" i="10" s="1"/>
  <c r="S9" i="10" s="1"/>
  <c r="S12" i="7" s="1"/>
  <c r="U9" i="10"/>
  <c r="O12" i="7" s="1"/>
  <c r="R12" i="7"/>
  <c r="J14" i="17" s="1"/>
  <c r="T12" i="7"/>
  <c r="L14" i="17" s="1"/>
  <c r="B10" i="10" l="1"/>
  <c r="E10" i="10" s="1"/>
  <c r="F10" i="10" s="1"/>
  <c r="L13" i="7"/>
  <c r="M10" i="10" s="1"/>
  <c r="N10" i="10" l="1"/>
  <c r="T10" i="10" s="1"/>
  <c r="L10" i="10"/>
  <c r="X10" i="10" s="1"/>
  <c r="H15" i="17"/>
  <c r="H13" i="7" l="1"/>
  <c r="J13" i="7" s="1"/>
  <c r="E15" i="17" s="1"/>
  <c r="G10" i="10"/>
  <c r="H10" i="10" s="1"/>
  <c r="I10" i="10" s="1"/>
  <c r="I13" i="7" s="1"/>
  <c r="C15" i="17" s="1"/>
  <c r="O10" i="10"/>
  <c r="P10" i="10" s="1"/>
  <c r="Q10" i="10" s="1"/>
  <c r="R10" i="10" s="1"/>
  <c r="S10" i="10" s="1"/>
  <c r="Q13" i="7"/>
  <c r="K15" i="17" s="1"/>
  <c r="U10" i="10"/>
  <c r="K13" i="7"/>
  <c r="G15" i="17" s="1"/>
  <c r="R13" i="7"/>
  <c r="J15" i="17" s="1"/>
  <c r="Y10" i="10"/>
  <c r="F14" i="7" l="1"/>
  <c r="D16" i="17" s="1"/>
  <c r="F15" i="17"/>
  <c r="S13" i="7"/>
  <c r="O13" i="7"/>
  <c r="T13" i="7"/>
  <c r="L15" i="17" s="1"/>
  <c r="L14" i="7" l="1"/>
  <c r="M11" i="10" s="1"/>
  <c r="B11" i="10"/>
  <c r="E11" i="10" s="1"/>
  <c r="F11" i="10" s="1"/>
  <c r="L11" i="10" l="1"/>
  <c r="H14" i="7" s="1"/>
  <c r="N11" i="10"/>
  <c r="O11" i="10" s="1"/>
  <c r="P11" i="10" s="1"/>
  <c r="H16" i="17"/>
  <c r="T11" i="10"/>
  <c r="Q14" i="7"/>
  <c r="X11" i="10" l="1"/>
  <c r="G11" i="10"/>
  <c r="H11" i="10" s="1"/>
  <c r="I11" i="10" s="1"/>
  <c r="J14" i="7"/>
  <c r="E16" i="17" s="1"/>
  <c r="F16" i="17"/>
  <c r="F15" i="7"/>
  <c r="K16" i="17"/>
  <c r="I14" i="7"/>
  <c r="C16" i="17" s="1"/>
  <c r="K14" i="7"/>
  <c r="G16" i="17" s="1"/>
  <c r="U11" i="10"/>
  <c r="Y11" i="10"/>
  <c r="R14" i="7"/>
  <c r="J16" i="17" s="1"/>
  <c r="Q11" i="10"/>
  <c r="R11" i="10" s="1"/>
  <c r="S11" i="10" s="1"/>
  <c r="E21" i="18" l="1"/>
  <c r="D17" i="17"/>
  <c r="T14" i="7"/>
  <c r="L16" i="17" s="1"/>
  <c r="O14" i="7"/>
  <c r="S14" i="7"/>
  <c r="B12" i="10" s="1"/>
  <c r="E12" i="10" s="1"/>
  <c r="F12" i="10" s="1"/>
  <c r="L15" i="7"/>
  <c r="F123" i="7"/>
  <c r="L12" i="10" l="1"/>
  <c r="G12" i="10" s="1"/>
  <c r="H12" i="10" s="1"/>
  <c r="I12" i="10" s="1"/>
  <c r="M12" i="10"/>
  <c r="N12" i="10" s="1"/>
  <c r="H17" i="17"/>
  <c r="X12" i="10" l="1"/>
  <c r="K15" i="7" s="1"/>
  <c r="H15" i="7"/>
  <c r="F17" i="17" s="1"/>
  <c r="O12" i="10"/>
  <c r="P12" i="10" s="1"/>
  <c r="T12" i="10"/>
  <c r="Y12" i="10" s="1"/>
  <c r="I15" i="7"/>
  <c r="Q15" i="7"/>
  <c r="C17" i="17" l="1"/>
  <c r="D21" i="18"/>
  <c r="H123" i="7"/>
  <c r="F21" i="18"/>
  <c r="G21" i="18"/>
  <c r="J15" i="7"/>
  <c r="E17" i="17" s="1"/>
  <c r="U12" i="10"/>
  <c r="O15" i="7" s="1"/>
  <c r="I123" i="7"/>
  <c r="Q12" i="10"/>
  <c r="R12" i="10" s="1"/>
  <c r="S12" i="10" s="1"/>
  <c r="S15" i="7" s="1"/>
  <c r="R15" i="7"/>
  <c r="J17" i="17" s="1"/>
  <c r="G17" i="17"/>
  <c r="F16" i="7"/>
  <c r="D18" i="17" s="1"/>
  <c r="K17" i="17"/>
  <c r="T15" i="7"/>
  <c r="L17" i="17" l="1"/>
  <c r="L16" i="7"/>
  <c r="M13" i="10" s="1"/>
  <c r="B13" i="10"/>
  <c r="E13" i="10" s="1"/>
  <c r="F13" i="10" s="1"/>
  <c r="L13" i="10" l="1"/>
  <c r="G13" i="10" s="1"/>
  <c r="H13" i="10" s="1"/>
  <c r="I13" i="10" s="1"/>
  <c r="N13" i="10"/>
  <c r="O13" i="10" s="1"/>
  <c r="P13" i="10" s="1"/>
  <c r="H18" i="17"/>
  <c r="X13" i="10" l="1"/>
  <c r="K16" i="7" s="1"/>
  <c r="G18" i="17" s="1"/>
  <c r="H16" i="7"/>
  <c r="J16" i="7" s="1"/>
  <c r="E18" i="17" s="1"/>
  <c r="T13" i="10"/>
  <c r="Y13" i="10" s="1"/>
  <c r="Q16" i="7"/>
  <c r="F17" i="7" s="1"/>
  <c r="D19" i="17" s="1"/>
  <c r="I16" i="7"/>
  <c r="C18" i="17" s="1"/>
  <c r="F18" i="17" l="1"/>
  <c r="K18" i="17"/>
  <c r="U13" i="10"/>
  <c r="O16" i="7" s="1"/>
  <c r="R16" i="7"/>
  <c r="J18" i="17" s="1"/>
  <c r="Q13" i="10"/>
  <c r="R13" i="10" s="1"/>
  <c r="S13" i="10" s="1"/>
  <c r="S16" i="7" s="1"/>
  <c r="T16" i="7"/>
  <c r="L18" i="17" s="1"/>
  <c r="L17" i="7"/>
  <c r="H19" i="17" s="1"/>
  <c r="B14" i="10"/>
  <c r="M14" i="10" l="1"/>
  <c r="N14" i="10" s="1"/>
  <c r="E14" i="10"/>
  <c r="F14" i="10" s="1"/>
  <c r="L14" i="10"/>
  <c r="X14" i="10" l="1"/>
  <c r="G14" i="10"/>
  <c r="H14" i="10" s="1"/>
  <c r="I14" i="10" s="1"/>
  <c r="H17" i="7"/>
  <c r="F19" i="17" s="1"/>
  <c r="O14" i="10"/>
  <c r="P14" i="10" s="1"/>
  <c r="T14" i="10"/>
  <c r="Q17" i="7"/>
  <c r="K19" i="17" s="1"/>
  <c r="I17" i="7" l="1"/>
  <c r="C19" i="17" s="1"/>
  <c r="K17" i="7"/>
  <c r="G19" i="17" s="1"/>
  <c r="J17" i="7"/>
  <c r="E19" i="17" s="1"/>
  <c r="F18" i="7"/>
  <c r="D20" i="17" s="1"/>
  <c r="U14" i="10"/>
  <c r="R17" i="7"/>
  <c r="J19" i="17" s="1"/>
  <c r="Q14" i="10"/>
  <c r="R14" i="10" s="1"/>
  <c r="S14" i="10" s="1"/>
  <c r="Y14" i="10"/>
  <c r="O17" i="7" l="1"/>
  <c r="T17" i="7"/>
  <c r="L19" i="17" s="1"/>
  <c r="S17" i="7"/>
  <c r="L18" i="7"/>
  <c r="B15" i="10"/>
  <c r="M15" i="10" l="1"/>
  <c r="N15" i="10" s="1"/>
  <c r="H20" i="17"/>
  <c r="L15" i="10"/>
  <c r="E15" i="10"/>
  <c r="F15" i="10" s="1"/>
  <c r="Q18" i="7" l="1"/>
  <c r="O15" i="10"/>
  <c r="P15" i="10" s="1"/>
  <c r="T15" i="10"/>
  <c r="H18" i="7"/>
  <c r="G15" i="10"/>
  <c r="H15" i="10" s="1"/>
  <c r="I15" i="10" s="1"/>
  <c r="X15" i="10"/>
  <c r="J18" i="7" l="1"/>
  <c r="E20" i="17" s="1"/>
  <c r="F20" i="17"/>
  <c r="F19" i="7"/>
  <c r="D21" i="17" s="1"/>
  <c r="K20" i="17"/>
  <c r="I18" i="7"/>
  <c r="C20" i="17" s="1"/>
  <c r="K18" i="7"/>
  <c r="G20" i="17" s="1"/>
  <c r="U15" i="10"/>
  <c r="Y15" i="10"/>
  <c r="Q15" i="10"/>
  <c r="R15" i="10" s="1"/>
  <c r="S15" i="10" s="1"/>
  <c r="R18" i="7"/>
  <c r="J20" i="17" s="1"/>
  <c r="S18" i="7" l="1"/>
  <c r="T18" i="7"/>
  <c r="L20" i="17" s="1"/>
  <c r="O18" i="7"/>
  <c r="B16" i="10"/>
  <c r="L19" i="7"/>
  <c r="M16" i="10" l="1"/>
  <c r="N16" i="10" s="1"/>
  <c r="H21" i="17"/>
  <c r="E16" i="10"/>
  <c r="F16" i="10" s="1"/>
  <c r="L16" i="10"/>
  <c r="Q19" i="7" l="1"/>
  <c r="T16" i="10"/>
  <c r="O16" i="10"/>
  <c r="P16" i="10" s="1"/>
  <c r="G16" i="10"/>
  <c r="H16" i="10" s="1"/>
  <c r="I16" i="10" s="1"/>
  <c r="H19" i="7"/>
  <c r="X16" i="10"/>
  <c r="F20" i="7" l="1"/>
  <c r="E22" i="18" s="1"/>
  <c r="K21" i="17"/>
  <c r="J19" i="7"/>
  <c r="E21" i="17" s="1"/>
  <c r="F21" i="17"/>
  <c r="I19" i="7"/>
  <c r="C21" i="17" s="1"/>
  <c r="K19" i="7"/>
  <c r="G21" i="17" s="1"/>
  <c r="Q16" i="10"/>
  <c r="R16" i="10" s="1"/>
  <c r="S16" i="10" s="1"/>
  <c r="Y16" i="10"/>
  <c r="U16" i="10"/>
  <c r="R19" i="7"/>
  <c r="J21" i="17" s="1"/>
  <c r="D22" i="17" l="1"/>
  <c r="L20" i="7"/>
  <c r="H22" i="17" s="1"/>
  <c r="F124" i="7"/>
  <c r="B17" i="10"/>
  <c r="E17" i="10" s="1"/>
  <c r="F17" i="10" s="1"/>
  <c r="S19" i="7"/>
  <c r="T19" i="7"/>
  <c r="L21" i="17" s="1"/>
  <c r="O19" i="7"/>
  <c r="M17" i="10" l="1"/>
  <c r="N17" i="10" s="1"/>
  <c r="Q20" i="7" s="1"/>
  <c r="K22" i="17" s="1"/>
  <c r="L17" i="10"/>
  <c r="X17" i="10" s="1"/>
  <c r="H20" i="7" l="1"/>
  <c r="H124" i="7" s="1"/>
  <c r="T17" i="10"/>
  <c r="O17" i="10"/>
  <c r="P17" i="10" s="1"/>
  <c r="G17" i="10"/>
  <c r="H17" i="10" s="1"/>
  <c r="I17" i="10" s="1"/>
  <c r="I20" i="7" s="1"/>
  <c r="D22" i="18" s="1"/>
  <c r="K20" i="7"/>
  <c r="G22" i="18" s="1"/>
  <c r="F21" i="7"/>
  <c r="D23" i="17" s="1"/>
  <c r="F22" i="17" l="1"/>
  <c r="F22" i="18"/>
  <c r="J20" i="7"/>
  <c r="E22" i="17" s="1"/>
  <c r="Q17" i="10"/>
  <c r="R17" i="10" s="1"/>
  <c r="S17" i="10" s="1"/>
  <c r="S20" i="7" s="1"/>
  <c r="U17" i="10"/>
  <c r="O20" i="7" s="1"/>
  <c r="R20" i="7"/>
  <c r="J22" i="17" s="1"/>
  <c r="Y17" i="10"/>
  <c r="T20" i="7" s="1"/>
  <c r="L22" i="17" s="1"/>
  <c r="C22" i="17"/>
  <c r="I124" i="7"/>
  <c r="G22" i="17"/>
  <c r="L21" i="7"/>
  <c r="B18" i="10"/>
  <c r="M18" i="10" l="1"/>
  <c r="N18" i="10" s="1"/>
  <c r="H23" i="17"/>
  <c r="E18" i="10"/>
  <c r="F18" i="10" s="1"/>
  <c r="L18" i="10"/>
  <c r="O18" i="10" l="1"/>
  <c r="P18" i="10" s="1"/>
  <c r="T18" i="10"/>
  <c r="Q21" i="7"/>
  <c r="X18" i="10"/>
  <c r="G18" i="10"/>
  <c r="H18" i="10" s="1"/>
  <c r="I18" i="10" s="1"/>
  <c r="H21" i="7"/>
  <c r="F22" i="7" l="1"/>
  <c r="D24" i="17" s="1"/>
  <c r="K23" i="17"/>
  <c r="J21" i="7"/>
  <c r="E23" i="17" s="1"/>
  <c r="F23" i="17"/>
  <c r="K21" i="7"/>
  <c r="G23" i="17" s="1"/>
  <c r="U18" i="10"/>
  <c r="I21" i="7"/>
  <c r="C23" i="17" s="1"/>
  <c r="R21" i="7"/>
  <c r="J23" i="17" s="1"/>
  <c r="Y18" i="10"/>
  <c r="Q18" i="10"/>
  <c r="R18" i="10" s="1"/>
  <c r="S18" i="10" s="1"/>
  <c r="O21" i="7" l="1"/>
  <c r="T21" i="7"/>
  <c r="L23" i="17" s="1"/>
  <c r="S21" i="7"/>
  <c r="L22" i="7" s="1"/>
  <c r="B19" i="10"/>
  <c r="M19" i="10" l="1"/>
  <c r="N19" i="10" s="1"/>
  <c r="H24" i="17"/>
  <c r="E19" i="10"/>
  <c r="F19" i="10" s="1"/>
  <c r="L19" i="10"/>
  <c r="G19" i="10" l="1"/>
  <c r="H19" i="10" s="1"/>
  <c r="I19" i="10" s="1"/>
  <c r="H22" i="7"/>
  <c r="X19" i="10"/>
  <c r="T19" i="10"/>
  <c r="O19" i="10"/>
  <c r="P19" i="10" s="1"/>
  <c r="Q22" i="7"/>
  <c r="F23" i="7" l="1"/>
  <c r="D25" i="17" s="1"/>
  <c r="K24" i="17"/>
  <c r="J22" i="7"/>
  <c r="E24" i="17" s="1"/>
  <c r="F24" i="17"/>
  <c r="K22" i="7"/>
  <c r="G24" i="17" s="1"/>
  <c r="I22" i="7"/>
  <c r="C24" i="17" s="1"/>
  <c r="U19" i="10"/>
  <c r="Y19" i="10"/>
  <c r="R22" i="7"/>
  <c r="J24" i="17" s="1"/>
  <c r="Q19" i="10"/>
  <c r="R19" i="10" s="1"/>
  <c r="S19" i="10" s="1"/>
  <c r="S22" i="7" l="1"/>
  <c r="T22" i="7"/>
  <c r="L24" i="17" s="1"/>
  <c r="O22" i="7"/>
  <c r="L23" i="7"/>
  <c r="B20" i="10"/>
  <c r="M20" i="10" l="1"/>
  <c r="N20" i="10" s="1"/>
  <c r="H25" i="17"/>
  <c r="E20" i="10"/>
  <c r="F20" i="10" s="1"/>
  <c r="L20" i="10"/>
  <c r="O20" i="10" l="1"/>
  <c r="P20" i="10" s="1"/>
  <c r="Q23" i="7"/>
  <c r="T20" i="10"/>
  <c r="H23" i="7"/>
  <c r="X20" i="10"/>
  <c r="G20" i="10"/>
  <c r="H20" i="10" s="1"/>
  <c r="I20" i="10" s="1"/>
  <c r="J23" i="7" l="1"/>
  <c r="E25" i="17" s="1"/>
  <c r="F25" i="17"/>
  <c r="F24" i="7"/>
  <c r="D26" i="17" s="1"/>
  <c r="K25" i="17"/>
  <c r="I23" i="7"/>
  <c r="C25" i="17" s="1"/>
  <c r="K23" i="7"/>
  <c r="G25" i="17" s="1"/>
  <c r="U20" i="10"/>
  <c r="R23" i="7"/>
  <c r="J25" i="17" s="1"/>
  <c r="Q20" i="10"/>
  <c r="R20" i="10" s="1"/>
  <c r="S20" i="10" s="1"/>
  <c r="Y20" i="10"/>
  <c r="T23" i="7" l="1"/>
  <c r="L25" i="17" s="1"/>
  <c r="S23" i="7"/>
  <c r="O23" i="7"/>
  <c r="L24" i="7"/>
  <c r="H26" i="17" s="1"/>
  <c r="B21" i="10"/>
  <c r="E21" i="10" l="1"/>
  <c r="F21" i="10" s="1"/>
  <c r="L21" i="10"/>
  <c r="M21" i="10"/>
  <c r="N21" i="10" s="1"/>
  <c r="G21" i="10" l="1"/>
  <c r="H21" i="10" s="1"/>
  <c r="I21" i="10" s="1"/>
  <c r="H24" i="7"/>
  <c r="X21" i="10"/>
  <c r="O21" i="10"/>
  <c r="P21" i="10" s="1"/>
  <c r="Q24" i="7"/>
  <c r="K26" i="17" s="1"/>
  <c r="T21" i="10"/>
  <c r="J24" i="7" l="1"/>
  <c r="E26" i="17" s="1"/>
  <c r="F26" i="17"/>
  <c r="I24" i="7"/>
  <c r="C26" i="17" s="1"/>
  <c r="U21" i="10"/>
  <c r="K24" i="7"/>
  <c r="G26" i="17" s="1"/>
  <c r="F25" i="7"/>
  <c r="Q21" i="10"/>
  <c r="R21" i="10" s="1"/>
  <c r="S21" i="10" s="1"/>
  <c r="Y21" i="10"/>
  <c r="R24" i="7"/>
  <c r="J26" i="17" s="1"/>
  <c r="E23" i="18" l="1"/>
  <c r="M21" i="18"/>
  <c r="D27" i="17"/>
  <c r="S24" i="7"/>
  <c r="O24" i="7"/>
  <c r="T24" i="7"/>
  <c r="L26" i="17" s="1"/>
  <c r="F125" i="7"/>
  <c r="L25" i="7"/>
  <c r="B22" i="10"/>
  <c r="H27" i="17" l="1"/>
  <c r="S21" i="18"/>
  <c r="M22" i="10"/>
  <c r="N22" i="10" s="1"/>
  <c r="E22" i="10"/>
  <c r="F22" i="10" s="1"/>
  <c r="L22" i="10"/>
  <c r="O22" i="10" l="1"/>
  <c r="P22" i="10" s="1"/>
  <c r="Q25" i="7"/>
  <c r="T22" i="10"/>
  <c r="H25" i="7"/>
  <c r="N21" i="18" s="1"/>
  <c r="G22" i="10"/>
  <c r="H22" i="10" s="1"/>
  <c r="I22" i="10" s="1"/>
  <c r="X22" i="10"/>
  <c r="K27" i="17" l="1"/>
  <c r="Q21" i="18"/>
  <c r="F27" i="17"/>
  <c r="F23" i="18"/>
  <c r="K25" i="7"/>
  <c r="I25" i="7"/>
  <c r="O21" i="18" s="1"/>
  <c r="J25" i="7"/>
  <c r="E27" i="17" s="1"/>
  <c r="H125" i="7"/>
  <c r="F26" i="7"/>
  <c r="D28" i="17" s="1"/>
  <c r="U22" i="10"/>
  <c r="R25" i="7"/>
  <c r="J27" i="17" s="1"/>
  <c r="Q22" i="10"/>
  <c r="R22" i="10" s="1"/>
  <c r="S22" i="10" s="1"/>
  <c r="Y22" i="10"/>
  <c r="G23" i="18" l="1"/>
  <c r="P21" i="18"/>
  <c r="I125" i="7"/>
  <c r="D23" i="18"/>
  <c r="C27" i="17"/>
  <c r="G27" i="17"/>
  <c r="O25" i="7"/>
  <c r="T21" i="18" s="1"/>
  <c r="S25" i="7"/>
  <c r="T25" i="7"/>
  <c r="B23" i="10"/>
  <c r="E23" i="10" s="1"/>
  <c r="F23" i="10" s="1"/>
  <c r="L26" i="7"/>
  <c r="L27" i="17" l="1"/>
  <c r="R21" i="18"/>
  <c r="M23" i="10"/>
  <c r="N23" i="10" s="1"/>
  <c r="H28" i="17"/>
  <c r="L23" i="10"/>
  <c r="O23" i="10" l="1"/>
  <c r="P23" i="10" s="1"/>
  <c r="H26" i="7"/>
  <c r="X23" i="10"/>
  <c r="G23" i="10"/>
  <c r="H23" i="10" s="1"/>
  <c r="I23" i="10" s="1"/>
  <c r="T23" i="10"/>
  <c r="Q26" i="7"/>
  <c r="F27" i="7" l="1"/>
  <c r="D29" i="17" s="1"/>
  <c r="K28" i="17"/>
  <c r="J26" i="7"/>
  <c r="E28" i="17" s="1"/>
  <c r="F28" i="17"/>
  <c r="U23" i="10"/>
  <c r="I26" i="7"/>
  <c r="C28" i="17" s="1"/>
  <c r="K26" i="7"/>
  <c r="G28" i="17" s="1"/>
  <c r="Y23" i="10"/>
  <c r="Q23" i="10"/>
  <c r="R23" i="10" s="1"/>
  <c r="S23" i="10" s="1"/>
  <c r="R26" i="7"/>
  <c r="J28" i="17" s="1"/>
  <c r="L27" i="7" l="1"/>
  <c r="M24" i="10" s="1"/>
  <c r="S26" i="7"/>
  <c r="B24" i="10" s="1"/>
  <c r="E24" i="10" s="1"/>
  <c r="F24" i="10" s="1"/>
  <c r="T26" i="7"/>
  <c r="L28" i="17" s="1"/>
  <c r="O26" i="7"/>
  <c r="L24" i="10" l="1"/>
  <c r="G24" i="10" s="1"/>
  <c r="H24" i="10" s="1"/>
  <c r="I24" i="10" s="1"/>
  <c r="N24" i="10"/>
  <c r="Q27" i="7" s="1"/>
  <c r="H29" i="17"/>
  <c r="H27" i="7" l="1"/>
  <c r="J27" i="7" s="1"/>
  <c r="E29" i="17" s="1"/>
  <c r="X24" i="10"/>
  <c r="K27" i="7" s="1"/>
  <c r="G29" i="17" s="1"/>
  <c r="O24" i="10"/>
  <c r="P24" i="10" s="1"/>
  <c r="T24" i="10"/>
  <c r="U24" i="10" s="1"/>
  <c r="F28" i="7"/>
  <c r="D30" i="17" s="1"/>
  <c r="K29" i="17"/>
  <c r="I27" i="7"/>
  <c r="C29" i="17" s="1"/>
  <c r="F29" i="17" l="1"/>
  <c r="Q24" i="10"/>
  <c r="R24" i="10" s="1"/>
  <c r="S24" i="10" s="1"/>
  <c r="S27" i="7" s="1"/>
  <c r="Y24" i="10"/>
  <c r="T27" i="7" s="1"/>
  <c r="L29" i="17" s="1"/>
  <c r="R27" i="7"/>
  <c r="J29" i="17" s="1"/>
  <c r="L28" i="7"/>
  <c r="M25" i="10" s="1"/>
  <c r="B25" i="10"/>
  <c r="L25" i="10" s="1"/>
  <c r="O27" i="7"/>
  <c r="E25" i="10" l="1"/>
  <c r="F25" i="10" s="1"/>
  <c r="G25" i="10" s="1"/>
  <c r="H25" i="10" s="1"/>
  <c r="I25" i="10" s="1"/>
  <c r="H30" i="17"/>
  <c r="N25" i="10"/>
  <c r="O25" i="10" s="1"/>
  <c r="P25" i="10" s="1"/>
  <c r="H28" i="7"/>
  <c r="X25" i="10"/>
  <c r="T25" i="10" l="1"/>
  <c r="Q25" i="10" s="1"/>
  <c r="R25" i="10" s="1"/>
  <c r="S25" i="10" s="1"/>
  <c r="Q28" i="7"/>
  <c r="F29" i="7" s="1"/>
  <c r="D31" i="17" s="1"/>
  <c r="J28" i="7"/>
  <c r="E30" i="17" s="1"/>
  <c r="F30" i="17"/>
  <c r="I28" i="7"/>
  <c r="C30" i="17" s="1"/>
  <c r="K28" i="7"/>
  <c r="G30" i="17" s="1"/>
  <c r="K30" i="17" l="1"/>
  <c r="Y25" i="10"/>
  <c r="T28" i="7" s="1"/>
  <c r="L30" i="17" s="1"/>
  <c r="U25" i="10"/>
  <c r="O28" i="7" s="1"/>
  <c r="R28" i="7"/>
  <c r="J30" i="17" s="1"/>
  <c r="B26" i="10"/>
  <c r="E26" i="10" s="1"/>
  <c r="F26" i="10" s="1"/>
  <c r="L29" i="7"/>
  <c r="S28" i="7"/>
  <c r="L26" i="10" l="1"/>
  <c r="X26" i="10" s="1"/>
  <c r="M26" i="10"/>
  <c r="N26" i="10" s="1"/>
  <c r="Q29" i="7" s="1"/>
  <c r="H31" i="17"/>
  <c r="G26" i="10" l="1"/>
  <c r="H26" i="10" s="1"/>
  <c r="I26" i="10" s="1"/>
  <c r="I29" i="7" s="1"/>
  <c r="C31" i="17" s="1"/>
  <c r="H29" i="7"/>
  <c r="J29" i="7" s="1"/>
  <c r="E31" i="17" s="1"/>
  <c r="T26" i="10"/>
  <c r="O26" i="10"/>
  <c r="P26" i="10" s="1"/>
  <c r="F30" i="7"/>
  <c r="K31" i="17"/>
  <c r="K29" i="7"/>
  <c r="G31" i="17" s="1"/>
  <c r="E24" i="18" l="1"/>
  <c r="F31" i="17"/>
  <c r="Q26" i="10"/>
  <c r="R26" i="10" s="1"/>
  <c r="S26" i="10" s="1"/>
  <c r="S29" i="7" s="1"/>
  <c r="U26" i="10"/>
  <c r="O29" i="7" s="1"/>
  <c r="R29" i="7"/>
  <c r="J31" i="17" s="1"/>
  <c r="Y26" i="10"/>
  <c r="T29" i="7" s="1"/>
  <c r="L31" i="17" s="1"/>
  <c r="D32" i="17"/>
  <c r="F126" i="7"/>
  <c r="B27" i="10"/>
  <c r="L30" i="7"/>
  <c r="M27" i="10" l="1"/>
  <c r="N27" i="10" s="1"/>
  <c r="H32" i="17"/>
  <c r="E27" i="10"/>
  <c r="F27" i="10" s="1"/>
  <c r="L27" i="10"/>
  <c r="G27" i="10" l="1"/>
  <c r="H27" i="10" s="1"/>
  <c r="I27" i="10" s="1"/>
  <c r="H30" i="7"/>
  <c r="X27" i="10"/>
  <c r="O27" i="10"/>
  <c r="P27" i="10" s="1"/>
  <c r="Q30" i="7"/>
  <c r="T27" i="10"/>
  <c r="F24" i="18" l="1"/>
  <c r="F31" i="7"/>
  <c r="D33" i="17" s="1"/>
  <c r="K32" i="17"/>
  <c r="F32" i="17"/>
  <c r="K30" i="7"/>
  <c r="I30" i="7"/>
  <c r="H126" i="7"/>
  <c r="J30" i="7"/>
  <c r="E32" i="17" s="1"/>
  <c r="U27" i="10"/>
  <c r="Q27" i="10"/>
  <c r="R27" i="10" s="1"/>
  <c r="S27" i="10" s="1"/>
  <c r="Y27" i="10"/>
  <c r="R30" i="7"/>
  <c r="J32" i="17" s="1"/>
  <c r="G24" i="18" l="1"/>
  <c r="D24" i="18"/>
  <c r="I126" i="7"/>
  <c r="C32" i="17"/>
  <c r="G32" i="17"/>
  <c r="T30" i="7"/>
  <c r="S30" i="7"/>
  <c r="B28" i="10" s="1"/>
  <c r="E28" i="10" s="1"/>
  <c r="F28" i="10" s="1"/>
  <c r="O30" i="7"/>
  <c r="L31" i="7"/>
  <c r="L32" i="17" l="1"/>
  <c r="L28" i="10"/>
  <c r="G28" i="10" s="1"/>
  <c r="H28" i="10" s="1"/>
  <c r="I28" i="10" s="1"/>
  <c r="M28" i="10"/>
  <c r="N28" i="10" s="1"/>
  <c r="O28" i="10" s="1"/>
  <c r="P28" i="10" s="1"/>
  <c r="H33" i="17"/>
  <c r="T28" i="10" l="1"/>
  <c r="R31" i="7" s="1"/>
  <c r="J33" i="17" s="1"/>
  <c r="Q31" i="7"/>
  <c r="F32" i="7" s="1"/>
  <c r="D34" i="17" s="1"/>
  <c r="X28" i="10"/>
  <c r="K31" i="7" s="1"/>
  <c r="G33" i="17" s="1"/>
  <c r="H31" i="7"/>
  <c r="J31" i="7" s="1"/>
  <c r="E33" i="17" s="1"/>
  <c r="I31" i="7"/>
  <c r="C33" i="17" s="1"/>
  <c r="Q28" i="10" l="1"/>
  <c r="R28" i="10" s="1"/>
  <c r="S28" i="10" s="1"/>
  <c r="S31" i="7" s="1"/>
  <c r="L32" i="7" s="1"/>
  <c r="U28" i="10"/>
  <c r="O31" i="7" s="1"/>
  <c r="Y28" i="10"/>
  <c r="K33" i="17"/>
  <c r="F33" i="17"/>
  <c r="T31" i="7"/>
  <c r="L33" i="17" s="1"/>
  <c r="B29" i="10"/>
  <c r="M29" i="10" l="1"/>
  <c r="N29" i="10" s="1"/>
  <c r="H34" i="17"/>
  <c r="L29" i="10"/>
  <c r="E29" i="10"/>
  <c r="F29" i="10" s="1"/>
  <c r="T29" i="10" l="1"/>
  <c r="Y29" i="10" s="1"/>
  <c r="Q32" i="7"/>
  <c r="K34" i="17" s="1"/>
  <c r="O29" i="10"/>
  <c r="P29" i="10" s="1"/>
  <c r="H32" i="7"/>
  <c r="X29" i="10"/>
  <c r="G29" i="10"/>
  <c r="H29" i="10" s="1"/>
  <c r="I29" i="10" s="1"/>
  <c r="U29" i="10" l="1"/>
  <c r="O32" i="7" s="1"/>
  <c r="F33" i="7"/>
  <c r="D35" i="17" s="1"/>
  <c r="Q29" i="10"/>
  <c r="R29" i="10" s="1"/>
  <c r="S29" i="10" s="1"/>
  <c r="S32" i="7" s="1"/>
  <c r="R32" i="7"/>
  <c r="J34" i="17" s="1"/>
  <c r="J32" i="7"/>
  <c r="E34" i="17" s="1"/>
  <c r="F34" i="17"/>
  <c r="T32" i="7"/>
  <c r="L34" i="17" s="1"/>
  <c r="I32" i="7"/>
  <c r="C34" i="17" s="1"/>
  <c r="K32" i="7"/>
  <c r="G34" i="17" s="1"/>
  <c r="B30" i="10" l="1"/>
  <c r="E30" i="10" s="1"/>
  <c r="F30" i="10" s="1"/>
  <c r="L33" i="7"/>
  <c r="M30" i="10" s="1"/>
  <c r="L30" i="10" l="1"/>
  <c r="G30" i="10" s="1"/>
  <c r="H30" i="10" s="1"/>
  <c r="I30" i="10" s="1"/>
  <c r="N30" i="10"/>
  <c r="O30" i="10" s="1"/>
  <c r="P30" i="10" s="1"/>
  <c r="H35" i="17"/>
  <c r="T30" i="10" l="1"/>
  <c r="Y30" i="10" s="1"/>
  <c r="Q33" i="7"/>
  <c r="F34" i="7" s="1"/>
  <c r="D36" i="17" s="1"/>
  <c r="H33" i="7"/>
  <c r="J33" i="7" s="1"/>
  <c r="E35" i="17" s="1"/>
  <c r="X30" i="10"/>
  <c r="K33" i="7" s="1"/>
  <c r="G35" i="17" s="1"/>
  <c r="I33" i="7"/>
  <c r="C35" i="17" s="1"/>
  <c r="K35" i="17" l="1"/>
  <c r="U30" i="10"/>
  <c r="O33" i="7" s="1"/>
  <c r="R33" i="7"/>
  <c r="J35" i="17" s="1"/>
  <c r="Q30" i="10"/>
  <c r="R30" i="10" s="1"/>
  <c r="S30" i="10" s="1"/>
  <c r="S33" i="7" s="1"/>
  <c r="F35" i="17"/>
  <c r="T33" i="7"/>
  <c r="L35" i="17" s="1"/>
  <c r="L34" i="7"/>
  <c r="B31" i="10"/>
  <c r="M31" i="10" l="1"/>
  <c r="N31" i="10" s="1"/>
  <c r="H36" i="17"/>
  <c r="E31" i="10"/>
  <c r="F31" i="10" s="1"/>
  <c r="L31" i="10"/>
  <c r="O31" i="10" l="1"/>
  <c r="P31" i="10" s="1"/>
  <c r="Q34" i="7"/>
  <c r="T31" i="10"/>
  <c r="H34" i="7"/>
  <c r="X31" i="10"/>
  <c r="G31" i="10"/>
  <c r="H31" i="10" s="1"/>
  <c r="I31" i="10" s="1"/>
  <c r="J34" i="7" l="1"/>
  <c r="E36" i="17" s="1"/>
  <c r="F36" i="17"/>
  <c r="F35" i="7"/>
  <c r="K36" i="17"/>
  <c r="K34" i="7"/>
  <c r="G36" i="17" s="1"/>
  <c r="I34" i="7"/>
  <c r="C36" i="17" s="1"/>
  <c r="U31" i="10"/>
  <c r="Q31" i="10"/>
  <c r="R31" i="10" s="1"/>
  <c r="S31" i="10" s="1"/>
  <c r="R34" i="7"/>
  <c r="J36" i="17" s="1"/>
  <c r="Y31" i="10"/>
  <c r="E25" i="18" l="1"/>
  <c r="M22" i="18"/>
  <c r="D37" i="17"/>
  <c r="S34" i="7"/>
  <c r="T34" i="7"/>
  <c r="L36" i="17" s="1"/>
  <c r="O34" i="7"/>
  <c r="L35" i="7"/>
  <c r="S22" i="18" s="1"/>
  <c r="B32" i="10"/>
  <c r="F127" i="7"/>
  <c r="M32" i="10" l="1"/>
  <c r="N32" i="10" s="1"/>
  <c r="H37" i="17"/>
  <c r="E32" i="10"/>
  <c r="F32" i="10" s="1"/>
  <c r="L32" i="10"/>
  <c r="H35" i="7" l="1"/>
  <c r="X32" i="10"/>
  <c r="G32" i="10"/>
  <c r="H32" i="10" s="1"/>
  <c r="I32" i="10" s="1"/>
  <c r="O32" i="10"/>
  <c r="P32" i="10" s="1"/>
  <c r="T32" i="10"/>
  <c r="Q35" i="7"/>
  <c r="Q22" i="18" s="1"/>
  <c r="F25" i="18" l="1"/>
  <c r="N22" i="18"/>
  <c r="F36" i="7"/>
  <c r="D38" i="17" s="1"/>
  <c r="K37" i="17"/>
  <c r="F37" i="17"/>
  <c r="I35" i="7"/>
  <c r="K35" i="7"/>
  <c r="H127" i="7"/>
  <c r="J35" i="7"/>
  <c r="E37" i="17" s="1"/>
  <c r="U32" i="10"/>
  <c r="Y32" i="10"/>
  <c r="Q32" i="10"/>
  <c r="R32" i="10" s="1"/>
  <c r="S32" i="10" s="1"/>
  <c r="R35" i="7"/>
  <c r="J37" i="17" s="1"/>
  <c r="D25" i="18" l="1"/>
  <c r="O22" i="18"/>
  <c r="G25" i="18"/>
  <c r="P22" i="18"/>
  <c r="I127" i="7"/>
  <c r="C37" i="17"/>
  <c r="G37" i="17"/>
  <c r="S35" i="7"/>
  <c r="T35" i="7"/>
  <c r="O35" i="7"/>
  <c r="T22" i="18" s="1"/>
  <c r="L36" i="7"/>
  <c r="B33" i="10"/>
  <c r="L37" i="17" l="1"/>
  <c r="R22" i="18"/>
  <c r="M33" i="10"/>
  <c r="N33" i="10" s="1"/>
  <c r="H38" i="17"/>
  <c r="L33" i="10"/>
  <c r="E33" i="10"/>
  <c r="F33" i="10" s="1"/>
  <c r="Q36" i="7" l="1"/>
  <c r="O33" i="10"/>
  <c r="P33" i="10" s="1"/>
  <c r="T33" i="10"/>
  <c r="X33" i="10"/>
  <c r="G33" i="10"/>
  <c r="H33" i="10" s="1"/>
  <c r="I33" i="10" s="1"/>
  <c r="H36" i="7"/>
  <c r="J36" i="7" l="1"/>
  <c r="E38" i="17" s="1"/>
  <c r="F38" i="17"/>
  <c r="F37" i="7"/>
  <c r="D39" i="17" s="1"/>
  <c r="K38" i="17"/>
  <c r="K36" i="7"/>
  <c r="G38" i="17" s="1"/>
  <c r="I36" i="7"/>
  <c r="C38" i="17" s="1"/>
  <c r="U33" i="10"/>
  <c r="R36" i="7"/>
  <c r="J38" i="17" s="1"/>
  <c r="Y33" i="10"/>
  <c r="Q33" i="10"/>
  <c r="R33" i="10" s="1"/>
  <c r="S33" i="10" s="1"/>
  <c r="S36" i="7" l="1"/>
  <c r="T36" i="7"/>
  <c r="L38" i="17" s="1"/>
  <c r="O36" i="7"/>
  <c r="L37" i="7"/>
  <c r="H39" i="17" s="1"/>
  <c r="B34" i="10"/>
  <c r="E34" i="10" l="1"/>
  <c r="F34" i="10" s="1"/>
  <c r="L34" i="10"/>
  <c r="M34" i="10"/>
  <c r="N34" i="10" s="1"/>
  <c r="X34" i="10" l="1"/>
  <c r="G34" i="10"/>
  <c r="H34" i="10" s="1"/>
  <c r="I34" i="10" s="1"/>
  <c r="H37" i="7"/>
  <c r="T34" i="10"/>
  <c r="O34" i="10"/>
  <c r="P34" i="10" s="1"/>
  <c r="Q37" i="7"/>
  <c r="K39" i="17" s="1"/>
  <c r="J37" i="7" l="1"/>
  <c r="E39" i="17" s="1"/>
  <c r="F39" i="17"/>
  <c r="I37" i="7"/>
  <c r="C39" i="17" s="1"/>
  <c r="K37" i="7"/>
  <c r="G39" i="17" s="1"/>
  <c r="F38" i="7"/>
  <c r="D40" i="17" s="1"/>
  <c r="U34" i="10"/>
  <c r="R37" i="7"/>
  <c r="J39" i="17" s="1"/>
  <c r="Q34" i="10"/>
  <c r="R34" i="10" s="1"/>
  <c r="S34" i="10" s="1"/>
  <c r="Y34" i="10"/>
  <c r="S37" i="7" l="1"/>
  <c r="O37" i="7"/>
  <c r="T37" i="7"/>
  <c r="L39" i="17" s="1"/>
  <c r="B35" i="10"/>
  <c r="L38" i="7"/>
  <c r="M35" i="10" l="1"/>
  <c r="N35" i="10" s="1"/>
  <c r="H40" i="17"/>
  <c r="E35" i="10"/>
  <c r="F35" i="10" s="1"/>
  <c r="L35" i="10"/>
  <c r="Q38" i="7" l="1"/>
  <c r="O35" i="10"/>
  <c r="P35" i="10" s="1"/>
  <c r="T35" i="10"/>
  <c r="X35" i="10"/>
  <c r="G35" i="10"/>
  <c r="H35" i="10" s="1"/>
  <c r="I35" i="10" s="1"/>
  <c r="H38" i="7"/>
  <c r="J38" i="7" l="1"/>
  <c r="E40" i="17" s="1"/>
  <c r="F40" i="17"/>
  <c r="F39" i="7"/>
  <c r="D41" i="17" s="1"/>
  <c r="K40" i="17"/>
  <c r="K38" i="7"/>
  <c r="G40" i="17" s="1"/>
  <c r="I38" i="7"/>
  <c r="C40" i="17" s="1"/>
  <c r="U35" i="10"/>
  <c r="Y35" i="10"/>
  <c r="R38" i="7"/>
  <c r="J40" i="17" s="1"/>
  <c r="Q35" i="10"/>
  <c r="R35" i="10" s="1"/>
  <c r="S35" i="10" s="1"/>
  <c r="L39" i="7" l="1"/>
  <c r="H41" i="17" s="1"/>
  <c r="B36" i="10"/>
  <c r="L36" i="10" s="1"/>
  <c r="T38" i="7"/>
  <c r="L40" i="17" s="1"/>
  <c r="O38" i="7"/>
  <c r="S38" i="7"/>
  <c r="E36" i="10" l="1"/>
  <c r="F36" i="10" s="1"/>
  <c r="G36" i="10" s="1"/>
  <c r="H36" i="10" s="1"/>
  <c r="I36" i="10" s="1"/>
  <c r="M36" i="10"/>
  <c r="N36" i="10" s="1"/>
  <c r="O36" i="10" s="1"/>
  <c r="P36" i="10" s="1"/>
  <c r="X36" i="10"/>
  <c r="H39" i="7"/>
  <c r="T36" i="10" l="1"/>
  <c r="R39" i="7" s="1"/>
  <c r="J41" i="17" s="1"/>
  <c r="Q39" i="7"/>
  <c r="K41" i="17" s="1"/>
  <c r="F41" i="17"/>
  <c r="I39" i="7"/>
  <c r="C41" i="17" s="1"/>
  <c r="K39" i="7"/>
  <c r="G41" i="17" s="1"/>
  <c r="J39" i="7"/>
  <c r="E41" i="17" s="1"/>
  <c r="U36" i="10" l="1"/>
  <c r="O39" i="7" s="1"/>
  <c r="Q36" i="10"/>
  <c r="R36" i="10" s="1"/>
  <c r="S36" i="10" s="1"/>
  <c r="S39" i="7" s="1"/>
  <c r="Y36" i="10"/>
  <c r="T39" i="7" s="1"/>
  <c r="L41" i="17" s="1"/>
  <c r="F40" i="7"/>
  <c r="B37" i="10" l="1"/>
  <c r="E37" i="10" s="1"/>
  <c r="F37" i="10" s="1"/>
  <c r="E26" i="18"/>
  <c r="F128" i="7"/>
  <c r="D42" i="17"/>
  <c r="L40" i="7"/>
  <c r="M37" i="10" s="1"/>
  <c r="L37" i="10" l="1"/>
  <c r="X37" i="10" s="1"/>
  <c r="N37" i="10"/>
  <c r="O37" i="10" s="1"/>
  <c r="P37" i="10" s="1"/>
  <c r="H42" i="17"/>
  <c r="Q40" i="7" l="1"/>
  <c r="F41" i="7" s="1"/>
  <c r="D43" i="17" s="1"/>
  <c r="T37" i="10"/>
  <c r="R40" i="7" s="1"/>
  <c r="J42" i="17" s="1"/>
  <c r="G37" i="10"/>
  <c r="H37" i="10" s="1"/>
  <c r="I37" i="10" s="1"/>
  <c r="I40" i="7" s="1"/>
  <c r="I128" i="7" s="1"/>
  <c r="H40" i="7"/>
  <c r="F26" i="18" s="1"/>
  <c r="K40" i="7"/>
  <c r="G26" i="18" s="1"/>
  <c r="U37" i="10" l="1"/>
  <c r="O40" i="7" s="1"/>
  <c r="K42" i="17"/>
  <c r="F42" i="17"/>
  <c r="Q37" i="10"/>
  <c r="R37" i="10" s="1"/>
  <c r="S37" i="10" s="1"/>
  <c r="S40" i="7" s="1"/>
  <c r="Y37" i="10"/>
  <c r="T40" i="7" s="1"/>
  <c r="L42" i="17" s="1"/>
  <c r="J40" i="7"/>
  <c r="E42" i="17" s="1"/>
  <c r="H128" i="7"/>
  <c r="C42" i="17"/>
  <c r="D26" i="18"/>
  <c r="G42" i="17"/>
  <c r="B38" i="10"/>
  <c r="L41" i="7"/>
  <c r="M38" i="10" l="1"/>
  <c r="N38" i="10" s="1"/>
  <c r="H43" i="17"/>
  <c r="E38" i="10"/>
  <c r="F38" i="10" s="1"/>
  <c r="L38" i="10"/>
  <c r="X38" i="10" l="1"/>
  <c r="G38" i="10"/>
  <c r="H38" i="10" s="1"/>
  <c r="I38" i="10" s="1"/>
  <c r="H41" i="7"/>
  <c r="O38" i="10"/>
  <c r="P38" i="10" s="1"/>
  <c r="T38" i="10"/>
  <c r="Q41" i="7"/>
  <c r="J41" i="7" l="1"/>
  <c r="E43" i="17" s="1"/>
  <c r="F43" i="17"/>
  <c r="F42" i="7"/>
  <c r="D44" i="17" s="1"/>
  <c r="K43" i="17"/>
  <c r="I41" i="7"/>
  <c r="C43" i="17" s="1"/>
  <c r="K41" i="7"/>
  <c r="G43" i="17" s="1"/>
  <c r="U38" i="10"/>
  <c r="Y38" i="10"/>
  <c r="R41" i="7"/>
  <c r="J43" i="17" s="1"/>
  <c r="Q38" i="10"/>
  <c r="R38" i="10" s="1"/>
  <c r="S38" i="10" s="1"/>
  <c r="S41" i="7" l="1"/>
  <c r="T41" i="7"/>
  <c r="L43" i="17" s="1"/>
  <c r="O41" i="7"/>
  <c r="L42" i="7"/>
  <c r="B39" i="10"/>
  <c r="M39" i="10" l="1"/>
  <c r="N39" i="10" s="1"/>
  <c r="H44" i="17"/>
  <c r="E39" i="10"/>
  <c r="F39" i="10" s="1"/>
  <c r="L39" i="10"/>
  <c r="O39" i="10" l="1"/>
  <c r="P39" i="10" s="1"/>
  <c r="Q42" i="7"/>
  <c r="K44" i="17" s="1"/>
  <c r="T39" i="10"/>
  <c r="H42" i="7"/>
  <c r="G39" i="10"/>
  <c r="H39" i="10" s="1"/>
  <c r="I39" i="10" s="1"/>
  <c r="X39" i="10"/>
  <c r="J42" i="7" l="1"/>
  <c r="E44" i="17" s="1"/>
  <c r="F44" i="17"/>
  <c r="K42" i="7"/>
  <c r="G44" i="17" s="1"/>
  <c r="I42" i="7"/>
  <c r="C44" i="17" s="1"/>
  <c r="U39" i="10"/>
  <c r="F43" i="7"/>
  <c r="D45" i="17" s="1"/>
  <c r="R42" i="7"/>
  <c r="J44" i="17" s="1"/>
  <c r="Y39" i="10"/>
  <c r="Q39" i="10"/>
  <c r="R39" i="10" s="1"/>
  <c r="S39" i="10" s="1"/>
  <c r="O42" i="7" l="1"/>
  <c r="S42" i="7"/>
  <c r="T42" i="7"/>
  <c r="L44" i="17" s="1"/>
  <c r="L43" i="7"/>
  <c r="B40" i="10"/>
  <c r="M40" i="10" l="1"/>
  <c r="N40" i="10" s="1"/>
  <c r="H45" i="17"/>
  <c r="L40" i="10"/>
  <c r="E40" i="10"/>
  <c r="F40" i="10" s="1"/>
  <c r="O40" i="10" l="1"/>
  <c r="P40" i="10" s="1"/>
  <c r="Q43" i="7"/>
  <c r="T40" i="10"/>
  <c r="H43" i="7"/>
  <c r="G40" i="10"/>
  <c r="H40" i="10" s="1"/>
  <c r="I40" i="10" s="1"/>
  <c r="X40" i="10"/>
  <c r="F44" i="7" l="1"/>
  <c r="D46" i="17" s="1"/>
  <c r="K45" i="17"/>
  <c r="J43" i="7"/>
  <c r="E45" i="17" s="1"/>
  <c r="F45" i="17"/>
  <c r="U40" i="10"/>
  <c r="K43" i="7"/>
  <c r="G45" i="17" s="1"/>
  <c r="I43" i="7"/>
  <c r="C45" i="17" s="1"/>
  <c r="Y40" i="10"/>
  <c r="Q40" i="10"/>
  <c r="R40" i="10" s="1"/>
  <c r="S40" i="10" s="1"/>
  <c r="R43" i="7"/>
  <c r="J45" i="17" s="1"/>
  <c r="L44" i="7" l="1"/>
  <c r="M41" i="10" s="1"/>
  <c r="B41" i="10"/>
  <c r="L41" i="10" s="1"/>
  <c r="T43" i="7"/>
  <c r="L45" i="17" s="1"/>
  <c r="S43" i="7"/>
  <c r="O43" i="7"/>
  <c r="E41" i="10" l="1"/>
  <c r="F41" i="10" s="1"/>
  <c r="G41" i="10" s="1"/>
  <c r="H41" i="10" s="1"/>
  <c r="I41" i="10" s="1"/>
  <c r="H46" i="17"/>
  <c r="N41" i="10"/>
  <c r="O41" i="10" s="1"/>
  <c r="P41" i="10" s="1"/>
  <c r="X41" i="10"/>
  <c r="H44" i="7"/>
  <c r="Q44" i="7" l="1"/>
  <c r="F45" i="7" s="1"/>
  <c r="T41" i="10"/>
  <c r="Y41" i="10" s="1"/>
  <c r="J44" i="7"/>
  <c r="E46" i="17" s="1"/>
  <c r="F46" i="17"/>
  <c r="K44" i="7"/>
  <c r="G46" i="17" s="1"/>
  <c r="I44" i="7"/>
  <c r="C46" i="17" s="1"/>
  <c r="K46" i="17" l="1"/>
  <c r="U41" i="10"/>
  <c r="O44" i="7" s="1"/>
  <c r="R44" i="7"/>
  <c r="J46" i="17" s="1"/>
  <c r="Q41" i="10"/>
  <c r="R41" i="10" s="1"/>
  <c r="S41" i="10" s="1"/>
  <c r="S44" i="7" s="1"/>
  <c r="D47" i="17"/>
  <c r="E27" i="18"/>
  <c r="F129" i="7"/>
  <c r="T44" i="7"/>
  <c r="L46" i="17" s="1"/>
  <c r="B42" i="10"/>
  <c r="L45" i="7"/>
  <c r="H47" i="17" l="1"/>
  <c r="M42" i="10"/>
  <c r="N42" i="10" s="1"/>
  <c r="E42" i="10"/>
  <c r="F42" i="10" s="1"/>
  <c r="L42" i="10"/>
  <c r="X42" i="10" l="1"/>
  <c r="G42" i="10"/>
  <c r="H42" i="10" s="1"/>
  <c r="I42" i="10" s="1"/>
  <c r="H45" i="7"/>
  <c r="Q45" i="7"/>
  <c r="T42" i="10"/>
  <c r="O42" i="10"/>
  <c r="P42" i="10" s="1"/>
  <c r="F27" i="18" l="1"/>
  <c r="K47" i="17"/>
  <c r="F47" i="17"/>
  <c r="I45" i="7"/>
  <c r="K45" i="7"/>
  <c r="J45" i="7"/>
  <c r="E47" i="17" s="1"/>
  <c r="H129" i="7"/>
  <c r="F46" i="7"/>
  <c r="D48" i="17" s="1"/>
  <c r="R45" i="7"/>
  <c r="J47" i="17" s="1"/>
  <c r="Y42" i="10"/>
  <c r="Q42" i="10"/>
  <c r="R42" i="10" s="1"/>
  <c r="S42" i="10" s="1"/>
  <c r="U42" i="10"/>
  <c r="G47" i="17" l="1"/>
  <c r="G27" i="18"/>
  <c r="D27" i="18"/>
  <c r="I129" i="7"/>
  <c r="C47" i="17"/>
  <c r="S45" i="7"/>
  <c r="T45" i="7"/>
  <c r="O45" i="7"/>
  <c r="L46" i="7"/>
  <c r="B43" i="10"/>
  <c r="M43" i="10" l="1"/>
  <c r="N43" i="10" s="1"/>
  <c r="H48" i="17"/>
  <c r="L47" i="17"/>
  <c r="L43" i="10"/>
  <c r="E43" i="10"/>
  <c r="F43" i="10" s="1"/>
  <c r="G43" i="10" l="1"/>
  <c r="H43" i="10" s="1"/>
  <c r="I43" i="10" s="1"/>
  <c r="O43" i="10"/>
  <c r="P43" i="10" s="1"/>
  <c r="T43" i="10"/>
  <c r="Q46" i="7"/>
  <c r="H46" i="7"/>
  <c r="X43" i="10"/>
  <c r="F47" i="7" l="1"/>
  <c r="D49" i="17" s="1"/>
  <c r="K48" i="17"/>
  <c r="J46" i="7"/>
  <c r="E48" i="17" s="1"/>
  <c r="F48" i="17"/>
  <c r="K46" i="7"/>
  <c r="G48" i="17" s="1"/>
  <c r="I46" i="7"/>
  <c r="C48" i="17" s="1"/>
  <c r="R46" i="7"/>
  <c r="J48" i="17" s="1"/>
  <c r="Y43" i="10"/>
  <c r="Q43" i="10"/>
  <c r="R43" i="10" s="1"/>
  <c r="S43" i="10" s="1"/>
  <c r="U43" i="10"/>
  <c r="O46" i="7" l="1"/>
  <c r="S46" i="7"/>
  <c r="B44" i="10" s="1"/>
  <c r="L44" i="10" s="1"/>
  <c r="T46" i="7"/>
  <c r="L48" i="17" s="1"/>
  <c r="L47" i="7"/>
  <c r="E44" i="10" l="1"/>
  <c r="F44" i="10" s="1"/>
  <c r="G44" i="10" s="1"/>
  <c r="H44" i="10" s="1"/>
  <c r="I44" i="10" s="1"/>
  <c r="M44" i="10"/>
  <c r="N44" i="10" s="1"/>
  <c r="T44" i="10" s="1"/>
  <c r="H49" i="17"/>
  <c r="H47" i="7"/>
  <c r="X44" i="10"/>
  <c r="Q47" i="7" l="1"/>
  <c r="O44" i="10"/>
  <c r="P44" i="10" s="1"/>
  <c r="Q44" i="10" s="1"/>
  <c r="R44" i="10" s="1"/>
  <c r="S44" i="10" s="1"/>
  <c r="J47" i="7"/>
  <c r="E49" i="17" s="1"/>
  <c r="F49" i="17"/>
  <c r="K47" i="7"/>
  <c r="G49" i="17" s="1"/>
  <c r="I47" i="7"/>
  <c r="C49" i="17" s="1"/>
  <c r="Y44" i="10"/>
  <c r="R47" i="7"/>
  <c r="J49" i="17" s="1"/>
  <c r="U44" i="10"/>
  <c r="F48" i="7" l="1"/>
  <c r="D50" i="17" s="1"/>
  <c r="K49" i="17"/>
  <c r="T47" i="7"/>
  <c r="L49" i="17" s="1"/>
  <c r="O47" i="7"/>
  <c r="S47" i="7"/>
  <c r="L48" i="7" l="1"/>
  <c r="M45" i="10" s="1"/>
  <c r="B45" i="10"/>
  <c r="N45" i="10" l="1"/>
  <c r="O45" i="10" s="1"/>
  <c r="P45" i="10" s="1"/>
  <c r="H50" i="17"/>
  <c r="E45" i="10"/>
  <c r="F45" i="10" s="1"/>
  <c r="L45" i="10"/>
  <c r="Q48" i="7" l="1"/>
  <c r="T45" i="10"/>
  <c r="Q45" i="10" s="1"/>
  <c r="R45" i="10" s="1"/>
  <c r="S45" i="10" s="1"/>
  <c r="S48" i="7" s="1"/>
  <c r="X45" i="10"/>
  <c r="K48" i="7" s="1"/>
  <c r="G50" i="17" s="1"/>
  <c r="G45" i="10"/>
  <c r="H45" i="10" s="1"/>
  <c r="I45" i="10" s="1"/>
  <c r="I48" i="7" s="1"/>
  <c r="C50" i="17" s="1"/>
  <c r="H48" i="7"/>
  <c r="R48" i="7" l="1"/>
  <c r="J50" i="17" s="1"/>
  <c r="U45" i="10"/>
  <c r="O48" i="7" s="1"/>
  <c r="Y45" i="10"/>
  <c r="T48" i="7" s="1"/>
  <c r="L50" i="17" s="1"/>
  <c r="K50" i="17"/>
  <c r="F49" i="7"/>
  <c r="F50" i="17"/>
  <c r="J48" i="7"/>
  <c r="E50" i="17" s="1"/>
  <c r="D51" i="17" l="1"/>
  <c r="B46" i="10"/>
  <c r="L49" i="7"/>
  <c r="H51" i="17" l="1"/>
  <c r="M46" i="10"/>
  <c r="N46" i="10" s="1"/>
  <c r="L46" i="10"/>
  <c r="E46" i="10"/>
  <c r="F46" i="10" s="1"/>
  <c r="T46" i="10" l="1"/>
  <c r="Q49" i="7"/>
  <c r="O46" i="10"/>
  <c r="P46" i="10" s="1"/>
  <c r="H49" i="7"/>
  <c r="G46" i="10"/>
  <c r="H46" i="10" s="1"/>
  <c r="I46" i="10" s="1"/>
  <c r="I49" i="7" s="1"/>
  <c r="C51" i="17" s="1"/>
  <c r="X46" i="10"/>
  <c r="K49" i="7" s="1"/>
  <c r="G51" i="17" s="1"/>
  <c r="R49" i="7" l="1"/>
  <c r="J51" i="17" s="1"/>
  <c r="Q46" i="10"/>
  <c r="R46" i="10" s="1"/>
  <c r="S46" i="10" s="1"/>
  <c r="S49" i="7" s="1"/>
  <c r="Y46" i="10"/>
  <c r="T49" i="7" s="1"/>
  <c r="L51" i="17" s="1"/>
  <c r="U46" i="10"/>
  <c r="O49" i="7" s="1"/>
  <c r="J49" i="7"/>
  <c r="E51" i="17" s="1"/>
  <c r="F51" i="17"/>
  <c r="K51" i="17"/>
  <c r="F50" i="7"/>
  <c r="E28" i="18" l="1"/>
  <c r="M23" i="18"/>
  <c r="B47" i="10"/>
  <c r="L50" i="7"/>
  <c r="S23" i="18" s="1"/>
  <c r="D52" i="17"/>
  <c r="F130" i="7"/>
  <c r="M47" i="10" l="1"/>
  <c r="N47" i="10" s="1"/>
  <c r="H52" i="17"/>
  <c r="E47" i="10"/>
  <c r="F47" i="10" s="1"/>
  <c r="L47" i="10"/>
  <c r="X47" i="10" l="1"/>
  <c r="K50" i="7" s="1"/>
  <c r="P23" i="18" s="1"/>
  <c r="G47" i="10"/>
  <c r="H47" i="10" s="1"/>
  <c r="I47" i="10" s="1"/>
  <c r="I50" i="7" s="1"/>
  <c r="H50" i="7"/>
  <c r="O47" i="10"/>
  <c r="P47" i="10" s="1"/>
  <c r="T47" i="10"/>
  <c r="Q50" i="7"/>
  <c r="Q23" i="18" s="1"/>
  <c r="F28" i="18" l="1"/>
  <c r="N23" i="18"/>
  <c r="D28" i="18"/>
  <c r="O23" i="18"/>
  <c r="G52" i="17"/>
  <c r="G28" i="18"/>
  <c r="Y47" i="10"/>
  <c r="T50" i="7" s="1"/>
  <c r="U47" i="10"/>
  <c r="O50" i="7" s="1"/>
  <c r="T23" i="18" s="1"/>
  <c r="R50" i="7"/>
  <c r="J52" i="17" s="1"/>
  <c r="Q47" i="10"/>
  <c r="R47" i="10" s="1"/>
  <c r="S47" i="10" s="1"/>
  <c r="S50" i="7" s="1"/>
  <c r="H130" i="7"/>
  <c r="F52" i="17"/>
  <c r="J50" i="7"/>
  <c r="E52" i="17" s="1"/>
  <c r="C52" i="17"/>
  <c r="I130" i="7"/>
  <c r="F51" i="7"/>
  <c r="K52" i="17"/>
  <c r="L52" i="17" l="1"/>
  <c r="R23" i="18"/>
  <c r="D53" i="17"/>
  <c r="L51" i="7"/>
  <c r="B48" i="10"/>
  <c r="E48" i="10" l="1"/>
  <c r="F48" i="10" s="1"/>
  <c r="L48" i="10"/>
  <c r="H53" i="17"/>
  <c r="M48" i="10"/>
  <c r="N48" i="10" s="1"/>
  <c r="Q51" i="7" l="1"/>
  <c r="O48" i="10"/>
  <c r="P48" i="10" s="1"/>
  <c r="T48" i="10"/>
  <c r="U48" i="10" s="1"/>
  <c r="O51" i="7" s="1"/>
  <c r="H51" i="7"/>
  <c r="G48" i="10"/>
  <c r="H48" i="10" s="1"/>
  <c r="I48" i="10" s="1"/>
  <c r="I51" i="7" s="1"/>
  <c r="C53" i="17" s="1"/>
  <c r="X48" i="10"/>
  <c r="K51" i="7" s="1"/>
  <c r="G53" i="17" s="1"/>
  <c r="J51" i="7" l="1"/>
  <c r="E53" i="17" s="1"/>
  <c r="F53" i="17"/>
  <c r="Y48" i="10"/>
  <c r="T51" i="7" s="1"/>
  <c r="L53" i="17" s="1"/>
  <c r="R51" i="7"/>
  <c r="J53" i="17" s="1"/>
  <c r="Q48" i="10"/>
  <c r="R48" i="10" s="1"/>
  <c r="S48" i="10" s="1"/>
  <c r="S51" i="7" s="1"/>
  <c r="K53" i="17"/>
  <c r="F52" i="7"/>
  <c r="D54" i="17" l="1"/>
  <c r="L52" i="7"/>
  <c r="B49" i="10"/>
  <c r="L49" i="10" l="1"/>
  <c r="E49" i="10"/>
  <c r="F49" i="10" s="1"/>
  <c r="H54" i="17"/>
  <c r="M49" i="10"/>
  <c r="N49" i="10" s="1"/>
  <c r="T49" i="10" l="1"/>
  <c r="O49" i="10"/>
  <c r="P49" i="10" s="1"/>
  <c r="Q52" i="7"/>
  <c r="H52" i="7"/>
  <c r="X49" i="10"/>
  <c r="K52" i="7" s="1"/>
  <c r="G54" i="17" s="1"/>
  <c r="G49" i="10"/>
  <c r="H49" i="10" s="1"/>
  <c r="I49" i="10" s="1"/>
  <c r="I52" i="7" s="1"/>
  <c r="C54" i="17" s="1"/>
  <c r="F54" i="17" l="1"/>
  <c r="J52" i="7"/>
  <c r="E54" i="17" s="1"/>
  <c r="F53" i="7"/>
  <c r="K54" i="17"/>
  <c r="U49" i="10"/>
  <c r="O52" i="7" s="1"/>
  <c r="R52" i="7"/>
  <c r="J54" i="17" s="1"/>
  <c r="Y49" i="10"/>
  <c r="T52" i="7" s="1"/>
  <c r="L54" i="17" s="1"/>
  <c r="Q49" i="10"/>
  <c r="R49" i="10" s="1"/>
  <c r="S49" i="10" s="1"/>
  <c r="S52" i="7" s="1"/>
  <c r="D55" i="17" l="1"/>
  <c r="L53" i="7"/>
  <c r="B50" i="10"/>
  <c r="E50" i="10" l="1"/>
  <c r="F50" i="10" s="1"/>
  <c r="L50" i="10"/>
  <c r="M50" i="10"/>
  <c r="N50" i="10" s="1"/>
  <c r="H55" i="17"/>
  <c r="O50" i="10" l="1"/>
  <c r="P50" i="10" s="1"/>
  <c r="T50" i="10"/>
  <c r="Q53" i="7"/>
  <c r="X50" i="10"/>
  <c r="K53" i="7" s="1"/>
  <c r="G55" i="17" s="1"/>
  <c r="G50" i="10"/>
  <c r="H50" i="10" s="1"/>
  <c r="I50" i="10" s="1"/>
  <c r="I53" i="7" s="1"/>
  <c r="C55" i="17" s="1"/>
  <c r="H53" i="7"/>
  <c r="F54" i="7" l="1"/>
  <c r="K55" i="17"/>
  <c r="F55" i="17"/>
  <c r="J53" i="7"/>
  <c r="E55" i="17" s="1"/>
  <c r="U50" i="10"/>
  <c r="O53" i="7" s="1"/>
  <c r="Y50" i="10"/>
  <c r="T53" i="7" s="1"/>
  <c r="L55" i="17" s="1"/>
  <c r="Q50" i="10"/>
  <c r="R50" i="10" s="1"/>
  <c r="S50" i="10" s="1"/>
  <c r="S53" i="7" s="1"/>
  <c r="R53" i="7"/>
  <c r="J55" i="17" s="1"/>
  <c r="D56" i="17" l="1"/>
  <c r="B51" i="10"/>
  <c r="L54" i="7"/>
  <c r="M51" i="10" l="1"/>
  <c r="N51" i="10" s="1"/>
  <c r="H56" i="17"/>
  <c r="E51" i="10"/>
  <c r="F51" i="10" s="1"/>
  <c r="L51" i="10"/>
  <c r="Q54" i="7" l="1"/>
  <c r="O51" i="10"/>
  <c r="P51" i="10" s="1"/>
  <c r="T51" i="10"/>
  <c r="U51" i="10" s="1"/>
  <c r="O54" i="7" s="1"/>
  <c r="H54" i="7"/>
  <c r="G51" i="10"/>
  <c r="H51" i="10" s="1"/>
  <c r="I51" i="10" s="1"/>
  <c r="I54" i="7" s="1"/>
  <c r="C56" i="17" s="1"/>
  <c r="X51" i="10"/>
  <c r="K54" i="7" s="1"/>
  <c r="G56" i="17" s="1"/>
  <c r="F56" i="17" l="1"/>
  <c r="J54" i="7"/>
  <c r="E56" i="17" s="1"/>
  <c r="Y51" i="10"/>
  <c r="T54" i="7" s="1"/>
  <c r="L56" i="17" s="1"/>
  <c r="Q51" i="10"/>
  <c r="R51" i="10" s="1"/>
  <c r="S51" i="10" s="1"/>
  <c r="S54" i="7" s="1"/>
  <c r="R54" i="7"/>
  <c r="J56" i="17" s="1"/>
  <c r="F55" i="7"/>
  <c r="K56" i="17"/>
  <c r="E29" i="18" l="1"/>
  <c r="M24" i="18"/>
  <c r="D57" i="17"/>
  <c r="L55" i="7"/>
  <c r="S24" i="18" s="1"/>
  <c r="F131" i="7"/>
  <c r="B52" i="10"/>
  <c r="L52" i="10" l="1"/>
  <c r="E52" i="10"/>
  <c r="F52" i="10" s="1"/>
  <c r="H57" i="17"/>
  <c r="M52" i="10"/>
  <c r="N52" i="10" s="1"/>
  <c r="O52" i="10" l="1"/>
  <c r="P52" i="10" s="1"/>
  <c r="Q55" i="7"/>
  <c r="Q24" i="18" s="1"/>
  <c r="T52" i="10"/>
  <c r="G52" i="10"/>
  <c r="H52" i="10" s="1"/>
  <c r="I52" i="10" s="1"/>
  <c r="I55" i="7" s="1"/>
  <c r="H55" i="7"/>
  <c r="X52" i="10"/>
  <c r="K55" i="7" s="1"/>
  <c r="F29" i="18" l="1"/>
  <c r="N24" i="18"/>
  <c r="G57" i="17"/>
  <c r="G29" i="18"/>
  <c r="P24" i="18"/>
  <c r="D29" i="18"/>
  <c r="O24" i="18"/>
  <c r="R55" i="7"/>
  <c r="J57" i="17" s="1"/>
  <c r="U52" i="10"/>
  <c r="O55" i="7" s="1"/>
  <c r="T24" i="18" s="1"/>
  <c r="Y52" i="10"/>
  <c r="T55" i="7" s="1"/>
  <c r="Q52" i="10"/>
  <c r="R52" i="10" s="1"/>
  <c r="S52" i="10" s="1"/>
  <c r="S55" i="7" s="1"/>
  <c r="C57" i="17"/>
  <c r="I131" i="7"/>
  <c r="K57" i="17"/>
  <c r="F56" i="7"/>
  <c r="J55" i="7"/>
  <c r="E57" i="17" s="1"/>
  <c r="H131" i="7"/>
  <c r="F57" i="17"/>
  <c r="L57" i="17" l="1"/>
  <c r="R24" i="18"/>
  <c r="D58" i="17"/>
  <c r="L56" i="7"/>
  <c r="B53" i="10"/>
  <c r="L53" i="10" l="1"/>
  <c r="E53" i="10"/>
  <c r="F53" i="10" s="1"/>
  <c r="M53" i="10"/>
  <c r="N53" i="10" s="1"/>
  <c r="H58" i="17"/>
  <c r="Q56" i="7" l="1"/>
  <c r="O53" i="10"/>
  <c r="P53" i="10" s="1"/>
  <c r="T53" i="10"/>
  <c r="X53" i="10"/>
  <c r="K56" i="7" s="1"/>
  <c r="G58" i="17" s="1"/>
  <c r="H56" i="7"/>
  <c r="G53" i="10"/>
  <c r="H53" i="10" s="1"/>
  <c r="I53" i="10" s="1"/>
  <c r="I56" i="7" s="1"/>
  <c r="C58" i="17" s="1"/>
  <c r="J56" i="7" l="1"/>
  <c r="E58" i="17" s="1"/>
  <c r="F58" i="17"/>
  <c r="R56" i="7"/>
  <c r="J58" i="17" s="1"/>
  <c r="U53" i="10"/>
  <c r="O56" i="7" s="1"/>
  <c r="Q53" i="10"/>
  <c r="R53" i="10" s="1"/>
  <c r="S53" i="10" s="1"/>
  <c r="S56" i="7" s="1"/>
  <c r="Y53" i="10"/>
  <c r="T56" i="7" s="1"/>
  <c r="L58" i="17" s="1"/>
  <c r="K58" i="17"/>
  <c r="F57" i="7"/>
  <c r="D59" i="17" l="1"/>
  <c r="B54" i="10"/>
  <c r="L57" i="7"/>
  <c r="E54" i="10" l="1"/>
  <c r="F54" i="10" s="1"/>
  <c r="L54" i="10"/>
  <c r="H59" i="17"/>
  <c r="M54" i="10"/>
  <c r="N54" i="10" s="1"/>
  <c r="H57" i="7" l="1"/>
  <c r="X54" i="10"/>
  <c r="K57" i="7" s="1"/>
  <c r="G59" i="17" s="1"/>
  <c r="G54" i="10"/>
  <c r="H54" i="10" s="1"/>
  <c r="I54" i="10" s="1"/>
  <c r="I57" i="7" s="1"/>
  <c r="C59" i="17" s="1"/>
  <c r="Q57" i="7"/>
  <c r="T54" i="10"/>
  <c r="U54" i="10" s="1"/>
  <c r="O57" i="7" s="1"/>
  <c r="O54" i="10"/>
  <c r="P54" i="10" s="1"/>
  <c r="F58" i="7" l="1"/>
  <c r="K59" i="17"/>
  <c r="Q54" i="10"/>
  <c r="R54" i="10" s="1"/>
  <c r="S54" i="10" s="1"/>
  <c r="S57" i="7" s="1"/>
  <c r="Y54" i="10"/>
  <c r="T57" i="7" s="1"/>
  <c r="L59" i="17" s="1"/>
  <c r="R57" i="7"/>
  <c r="J59" i="17" s="1"/>
  <c r="J57" i="7"/>
  <c r="E59" i="17" s="1"/>
  <c r="F59" i="17"/>
  <c r="D60" i="17" l="1"/>
  <c r="B55" i="10"/>
  <c r="L58" i="7"/>
  <c r="M55" i="10" l="1"/>
  <c r="N55" i="10" s="1"/>
  <c r="H60" i="17"/>
  <c r="L55" i="10"/>
  <c r="E55" i="10"/>
  <c r="F55" i="10" s="1"/>
  <c r="X55" i="10" l="1"/>
  <c r="K58" i="7" s="1"/>
  <c r="G60" i="17" s="1"/>
  <c r="G55" i="10"/>
  <c r="H55" i="10" s="1"/>
  <c r="I55" i="10" s="1"/>
  <c r="I58" i="7" s="1"/>
  <c r="C60" i="17" s="1"/>
  <c r="H58" i="7"/>
  <c r="Q58" i="7"/>
  <c r="O55" i="10"/>
  <c r="P55" i="10" s="1"/>
  <c r="T55" i="10"/>
  <c r="Y55" i="10" l="1"/>
  <c r="T58" i="7" s="1"/>
  <c r="L60" i="17" s="1"/>
  <c r="R58" i="7"/>
  <c r="J60" i="17" s="1"/>
  <c r="Q55" i="10"/>
  <c r="R55" i="10" s="1"/>
  <c r="S55" i="10" s="1"/>
  <c r="S58" i="7" s="1"/>
  <c r="K60" i="17"/>
  <c r="F59" i="7"/>
  <c r="J58" i="7"/>
  <c r="E60" i="17" s="1"/>
  <c r="F60" i="17"/>
  <c r="U55" i="10"/>
  <c r="O58" i="7" s="1"/>
  <c r="D61" i="17" l="1"/>
  <c r="L59" i="7"/>
  <c r="B56" i="10"/>
  <c r="M56" i="10" l="1"/>
  <c r="N56" i="10" s="1"/>
  <c r="H61" i="17"/>
  <c r="E56" i="10"/>
  <c r="F56" i="10" s="1"/>
  <c r="L56" i="10"/>
  <c r="G56" i="10" l="1"/>
  <c r="H56" i="10" s="1"/>
  <c r="I56" i="10" s="1"/>
  <c r="I59" i="7" s="1"/>
  <c r="C61" i="17" s="1"/>
  <c r="H59" i="7"/>
  <c r="X56" i="10"/>
  <c r="K59" i="7" s="1"/>
  <c r="G61" i="17" s="1"/>
  <c r="O56" i="10"/>
  <c r="P56" i="10" s="1"/>
  <c r="T56" i="10"/>
  <c r="Q59" i="7"/>
  <c r="Q56" i="10" l="1"/>
  <c r="R56" i="10" s="1"/>
  <c r="S56" i="10" s="1"/>
  <c r="S59" i="7" s="1"/>
  <c r="Y56" i="10"/>
  <c r="T59" i="7" s="1"/>
  <c r="L61" i="17" s="1"/>
  <c r="R59" i="7"/>
  <c r="J61" i="17" s="1"/>
  <c r="J59" i="7"/>
  <c r="E61" i="17" s="1"/>
  <c r="F61" i="17"/>
  <c r="F60" i="7"/>
  <c r="E30" i="18" s="1"/>
  <c r="K61" i="17"/>
  <c r="U56" i="10"/>
  <c r="O59" i="7" s="1"/>
  <c r="D62" i="17" l="1"/>
  <c r="L60" i="7"/>
  <c r="B57" i="10"/>
  <c r="F132" i="7"/>
  <c r="L57" i="10" l="1"/>
  <c r="E57" i="10"/>
  <c r="F57" i="10" s="1"/>
  <c r="M57" i="10"/>
  <c r="N57" i="10" s="1"/>
  <c r="H62" i="17"/>
  <c r="Q60" i="7" l="1"/>
  <c r="T57" i="10"/>
  <c r="O57" i="10"/>
  <c r="P57" i="10" s="1"/>
  <c r="G57" i="10"/>
  <c r="H57" i="10" s="1"/>
  <c r="I57" i="10" s="1"/>
  <c r="I60" i="7" s="1"/>
  <c r="D30" i="18" s="1"/>
  <c r="H60" i="7"/>
  <c r="F30" i="18" s="1"/>
  <c r="X57" i="10"/>
  <c r="K60" i="7" s="1"/>
  <c r="G62" i="17" l="1"/>
  <c r="G30" i="18"/>
  <c r="H132" i="7"/>
  <c r="F62" i="17"/>
  <c r="J60" i="7"/>
  <c r="E62" i="17" s="1"/>
  <c r="C62" i="17"/>
  <c r="U57" i="10"/>
  <c r="O60" i="7" s="1"/>
  <c r="Q57" i="10"/>
  <c r="R57" i="10" s="1"/>
  <c r="S57" i="10" s="1"/>
  <c r="S60" i="7" s="1"/>
  <c r="R60" i="7"/>
  <c r="J62" i="17" s="1"/>
  <c r="Y57" i="10"/>
  <c r="T60" i="7" s="1"/>
  <c r="L62" i="17" s="1"/>
  <c r="I132" i="7"/>
  <c r="K62" i="17"/>
  <c r="F61" i="7"/>
  <c r="D63" i="17" l="1"/>
  <c r="B58" i="10"/>
  <c r="L61" i="7"/>
  <c r="L58" i="10" l="1"/>
  <c r="E58" i="10"/>
  <c r="F58" i="10" s="1"/>
  <c r="M58" i="10"/>
  <c r="N58" i="10" s="1"/>
  <c r="H63" i="17"/>
  <c r="Q61" i="7" l="1"/>
  <c r="O58" i="10"/>
  <c r="P58" i="10" s="1"/>
  <c r="T58" i="10"/>
  <c r="X58" i="10"/>
  <c r="K61" i="7" s="1"/>
  <c r="G63" i="17" s="1"/>
  <c r="H61" i="7"/>
  <c r="G58" i="10"/>
  <c r="H58" i="10" s="1"/>
  <c r="I58" i="10" s="1"/>
  <c r="I61" i="7" s="1"/>
  <c r="C63" i="17" s="1"/>
  <c r="F63" i="17" l="1"/>
  <c r="J61" i="7"/>
  <c r="E63" i="17" s="1"/>
  <c r="Y58" i="10"/>
  <c r="T61" i="7" s="1"/>
  <c r="L63" i="17" s="1"/>
  <c r="R61" i="7"/>
  <c r="J63" i="17" s="1"/>
  <c r="Q58" i="10"/>
  <c r="R58" i="10" s="1"/>
  <c r="S58" i="10" s="1"/>
  <c r="S61" i="7" s="1"/>
  <c r="U58" i="10"/>
  <c r="O61" i="7" s="1"/>
  <c r="K63" i="17"/>
  <c r="F62" i="7"/>
  <c r="D64" i="17" l="1"/>
  <c r="L62" i="7"/>
  <c r="B59" i="10"/>
  <c r="E59" i="10" l="1"/>
  <c r="F59" i="10" s="1"/>
  <c r="L59" i="10"/>
  <c r="M59" i="10"/>
  <c r="N59" i="10" s="1"/>
  <c r="H64" i="17"/>
  <c r="G59" i="10" l="1"/>
  <c r="H59" i="10" s="1"/>
  <c r="I59" i="10" s="1"/>
  <c r="I62" i="7" s="1"/>
  <c r="C64" i="17" s="1"/>
  <c r="H62" i="7"/>
  <c r="X59" i="10"/>
  <c r="K62" i="7" s="1"/>
  <c r="G64" i="17" s="1"/>
  <c r="O59" i="10"/>
  <c r="P59" i="10" s="1"/>
  <c r="Q62" i="7"/>
  <c r="T59" i="10"/>
  <c r="Q59" i="10" l="1"/>
  <c r="R59" i="10" s="1"/>
  <c r="S59" i="10" s="1"/>
  <c r="S62" i="7" s="1"/>
  <c r="R62" i="7"/>
  <c r="J64" i="17" s="1"/>
  <c r="Y59" i="10"/>
  <c r="T62" i="7" s="1"/>
  <c r="L64" i="17" s="1"/>
  <c r="J62" i="7"/>
  <c r="E64" i="17" s="1"/>
  <c r="F64" i="17"/>
  <c r="F63" i="7"/>
  <c r="K64" i="17"/>
  <c r="U59" i="10"/>
  <c r="O62" i="7" s="1"/>
  <c r="D65" i="17" l="1"/>
  <c r="L63" i="7"/>
  <c r="B60" i="10"/>
  <c r="L60" i="10" l="1"/>
  <c r="E60" i="10"/>
  <c r="F60" i="10" s="1"/>
  <c r="H65" i="17"/>
  <c r="M60" i="10"/>
  <c r="N60" i="10" s="1"/>
  <c r="G60" i="10" l="1"/>
  <c r="H60" i="10" s="1"/>
  <c r="I60" i="10" s="1"/>
  <c r="I63" i="7" s="1"/>
  <c r="C65" i="17" s="1"/>
  <c r="O60" i="10"/>
  <c r="P60" i="10" s="1"/>
  <c r="T60" i="10"/>
  <c r="U60" i="10" s="1"/>
  <c r="O63" i="7" s="1"/>
  <c r="Q63" i="7"/>
  <c r="X60" i="10"/>
  <c r="K63" i="7" s="1"/>
  <c r="G65" i="17" s="1"/>
  <c r="H63" i="7"/>
  <c r="K65" i="17" l="1"/>
  <c r="F64" i="7"/>
  <c r="F65" i="17"/>
  <c r="J63" i="7"/>
  <c r="E65" i="17" s="1"/>
  <c r="R63" i="7"/>
  <c r="J65" i="17" s="1"/>
  <c r="Y60" i="10"/>
  <c r="T63" i="7" s="1"/>
  <c r="L65" i="17" s="1"/>
  <c r="Q60" i="10"/>
  <c r="R60" i="10" s="1"/>
  <c r="S60" i="10" s="1"/>
  <c r="S63" i="7" s="1"/>
  <c r="D66" i="17" l="1"/>
  <c r="B61" i="10"/>
  <c r="L64" i="7"/>
  <c r="E61" i="10" l="1"/>
  <c r="F61" i="10" s="1"/>
  <c r="L61" i="10"/>
  <c r="H66" i="17"/>
  <c r="M61" i="10"/>
  <c r="N61" i="10" s="1"/>
  <c r="G61" i="10" l="1"/>
  <c r="H61" i="10" s="1"/>
  <c r="I61" i="10" s="1"/>
  <c r="I64" i="7" s="1"/>
  <c r="C66" i="17" s="1"/>
  <c r="H64" i="7"/>
  <c r="X61" i="10"/>
  <c r="K64" i="7" s="1"/>
  <c r="G66" i="17" s="1"/>
  <c r="T61" i="10"/>
  <c r="O61" i="10"/>
  <c r="P61" i="10" s="1"/>
  <c r="Q64" i="7"/>
  <c r="K66" i="17" l="1"/>
  <c r="F65" i="7"/>
  <c r="Y61" i="10"/>
  <c r="T64" i="7" s="1"/>
  <c r="L66" i="17" s="1"/>
  <c r="Q61" i="10"/>
  <c r="R61" i="10" s="1"/>
  <c r="S61" i="10" s="1"/>
  <c r="S64" i="7" s="1"/>
  <c r="R64" i="7"/>
  <c r="J66" i="17" s="1"/>
  <c r="U61" i="10"/>
  <c r="O64" i="7" s="1"/>
  <c r="J64" i="7"/>
  <c r="E66" i="17" s="1"/>
  <c r="F66" i="17"/>
  <c r="E31" i="18" l="1"/>
  <c r="M25" i="18"/>
  <c r="D67" i="17"/>
  <c r="L65" i="7"/>
  <c r="S25" i="18" s="1"/>
  <c r="F133" i="7"/>
  <c r="B62" i="10"/>
  <c r="L62" i="10" l="1"/>
  <c r="E62" i="10"/>
  <c r="F62" i="10" s="1"/>
  <c r="H67" i="17"/>
  <c r="M62" i="10"/>
  <c r="N62" i="10" s="1"/>
  <c r="Q65" i="7" l="1"/>
  <c r="Q25" i="18" s="1"/>
  <c r="T62" i="10"/>
  <c r="U62" i="10" s="1"/>
  <c r="O65" i="7" s="1"/>
  <c r="T25" i="18" s="1"/>
  <c r="O62" i="10"/>
  <c r="P62" i="10" s="1"/>
  <c r="G62" i="10"/>
  <c r="H62" i="10" s="1"/>
  <c r="I62" i="10" s="1"/>
  <c r="I65" i="7" s="1"/>
  <c r="X62" i="10"/>
  <c r="K65" i="7" s="1"/>
  <c r="H65" i="7"/>
  <c r="P25" i="18" l="1"/>
  <c r="G31" i="18"/>
  <c r="N25" i="18"/>
  <c r="F31" i="18"/>
  <c r="O25" i="18"/>
  <c r="D31" i="18"/>
  <c r="F67" i="17"/>
  <c r="H133" i="7"/>
  <c r="J65" i="7"/>
  <c r="E67" i="17" s="1"/>
  <c r="I133" i="7"/>
  <c r="C67" i="17"/>
  <c r="R65" i="7"/>
  <c r="J67" i="17" s="1"/>
  <c r="Q62" i="10"/>
  <c r="R62" i="10" s="1"/>
  <c r="S62" i="10" s="1"/>
  <c r="S65" i="7" s="1"/>
  <c r="Y62" i="10"/>
  <c r="T65" i="7" s="1"/>
  <c r="G67" i="17"/>
  <c r="K67" i="17"/>
  <c r="F66" i="7"/>
  <c r="L67" i="17" l="1"/>
  <c r="R25" i="18"/>
  <c r="D68" i="17"/>
  <c r="B63" i="10"/>
  <c r="L66" i="7"/>
  <c r="H68" i="17" l="1"/>
  <c r="M63" i="10"/>
  <c r="N63" i="10" s="1"/>
  <c r="L63" i="10"/>
  <c r="E63" i="10"/>
  <c r="F63" i="10" s="1"/>
  <c r="G63" i="10" l="1"/>
  <c r="H63" i="10" s="1"/>
  <c r="I63" i="10" s="1"/>
  <c r="I66" i="7" s="1"/>
  <c r="C68" i="17" s="1"/>
  <c r="O63" i="10"/>
  <c r="P63" i="10" s="1"/>
  <c r="T63" i="10"/>
  <c r="U63" i="10" s="1"/>
  <c r="O66" i="7" s="1"/>
  <c r="Q66" i="7"/>
  <c r="X63" i="10"/>
  <c r="K66" i="7" s="1"/>
  <c r="G68" i="17" s="1"/>
  <c r="H66" i="7"/>
  <c r="F67" i="7" l="1"/>
  <c r="M26" i="18" s="1"/>
  <c r="K68" i="17"/>
  <c r="Q63" i="10"/>
  <c r="R63" i="10" s="1"/>
  <c r="S63" i="10" s="1"/>
  <c r="S66" i="7" s="1"/>
  <c r="Y63" i="10"/>
  <c r="T66" i="7" s="1"/>
  <c r="L68" i="17" s="1"/>
  <c r="R66" i="7"/>
  <c r="J68" i="17" s="1"/>
  <c r="J66" i="7"/>
  <c r="E68" i="17" s="1"/>
  <c r="F68" i="17"/>
  <c r="D69" i="17" l="1"/>
  <c r="L67" i="7"/>
  <c r="S26" i="18" s="1"/>
  <c r="B64" i="10"/>
  <c r="E64" i="10" l="1"/>
  <c r="F64" i="10" s="1"/>
  <c r="L64" i="10"/>
  <c r="H69" i="17"/>
  <c r="M64" i="10"/>
  <c r="N64" i="10" s="1"/>
  <c r="O64" i="10" l="1"/>
  <c r="P64" i="10" s="1"/>
  <c r="Q67" i="7"/>
  <c r="Q26" i="18" s="1"/>
  <c r="T64" i="10"/>
  <c r="U64" i="10" s="1"/>
  <c r="O67" i="7" s="1"/>
  <c r="T26" i="18" s="1"/>
  <c r="G64" i="10"/>
  <c r="H64" i="10" s="1"/>
  <c r="I64" i="10" s="1"/>
  <c r="I67" i="7" s="1"/>
  <c r="X64" i="10"/>
  <c r="K67" i="7" s="1"/>
  <c r="H67" i="7"/>
  <c r="N26" i="18" s="1"/>
  <c r="C69" i="17" l="1"/>
  <c r="O26" i="18"/>
  <c r="G69" i="17"/>
  <c r="P26" i="18"/>
  <c r="Y64" i="10"/>
  <c r="T67" i="7" s="1"/>
  <c r="R67" i="7"/>
  <c r="J69" i="17" s="1"/>
  <c r="Q64" i="10"/>
  <c r="R64" i="10" s="1"/>
  <c r="S64" i="10" s="1"/>
  <c r="S67" i="7" s="1"/>
  <c r="J67" i="7"/>
  <c r="E69" i="17" s="1"/>
  <c r="F69" i="17"/>
  <c r="F68" i="7"/>
  <c r="K69" i="17"/>
  <c r="L69" i="17" l="1"/>
  <c r="R26" i="18"/>
  <c r="D70" i="17"/>
  <c r="L68" i="7"/>
  <c r="B65" i="10"/>
  <c r="L65" i="10" l="1"/>
  <c r="E65" i="10"/>
  <c r="F65" i="10" s="1"/>
  <c r="H70" i="17"/>
  <c r="M65" i="10"/>
  <c r="N65" i="10" s="1"/>
  <c r="O65" i="10" l="1"/>
  <c r="P65" i="10" s="1"/>
  <c r="Q68" i="7"/>
  <c r="T65" i="10"/>
  <c r="U65" i="10" s="1"/>
  <c r="O68" i="7" s="1"/>
  <c r="H68" i="7"/>
  <c r="X65" i="10"/>
  <c r="K68" i="7" s="1"/>
  <c r="G70" i="17" s="1"/>
  <c r="G65" i="10"/>
  <c r="H65" i="10" s="1"/>
  <c r="I65" i="10" s="1"/>
  <c r="I68" i="7" s="1"/>
  <c r="C70" i="17" s="1"/>
  <c r="Q65" i="10" l="1"/>
  <c r="R65" i="10" s="1"/>
  <c r="S65" i="10" s="1"/>
  <c r="S68" i="7" s="1"/>
  <c r="Y65" i="10"/>
  <c r="T68" i="7" s="1"/>
  <c r="L70" i="17" s="1"/>
  <c r="R68" i="7"/>
  <c r="J70" i="17" s="1"/>
  <c r="F70" i="17"/>
  <c r="J68" i="7"/>
  <c r="E70" i="17" s="1"/>
  <c r="K70" i="17"/>
  <c r="F69" i="7"/>
  <c r="D71" i="17" l="1"/>
  <c r="B66" i="10"/>
  <c r="L69" i="7"/>
  <c r="L66" i="10" l="1"/>
  <c r="E66" i="10"/>
  <c r="F66" i="10" s="1"/>
  <c r="M66" i="10"/>
  <c r="N66" i="10" s="1"/>
  <c r="H71" i="17"/>
  <c r="O66" i="10" l="1"/>
  <c r="P66" i="10" s="1"/>
  <c r="Q69" i="7"/>
  <c r="T66" i="10"/>
  <c r="U66" i="10" s="1"/>
  <c r="O69" i="7" s="1"/>
  <c r="X66" i="10"/>
  <c r="K69" i="7" s="1"/>
  <c r="G71" i="17" s="1"/>
  <c r="H69" i="7"/>
  <c r="G66" i="10"/>
  <c r="H66" i="10" s="1"/>
  <c r="I66" i="10" s="1"/>
  <c r="I69" i="7" s="1"/>
  <c r="C71" i="17" s="1"/>
  <c r="Q66" i="10" l="1"/>
  <c r="R66" i="10" s="1"/>
  <c r="S66" i="10" s="1"/>
  <c r="S69" i="7" s="1"/>
  <c r="R69" i="7"/>
  <c r="J71" i="17" s="1"/>
  <c r="Y66" i="10"/>
  <c r="T69" i="7" s="1"/>
  <c r="L71" i="17" s="1"/>
  <c r="K71" i="17"/>
  <c r="F70" i="7"/>
  <c r="F71" i="17"/>
  <c r="J69" i="7"/>
  <c r="E71" i="17" s="1"/>
  <c r="E32" i="18" l="1"/>
  <c r="M27" i="18"/>
  <c r="D72" i="17"/>
  <c r="B67" i="10"/>
  <c r="L70" i="7"/>
  <c r="S27" i="18" s="1"/>
  <c r="F134" i="7"/>
  <c r="H72" i="17" l="1"/>
  <c r="M67" i="10"/>
  <c r="N67" i="10" s="1"/>
  <c r="L67" i="10"/>
  <c r="E67" i="10"/>
  <c r="F67" i="10" s="1"/>
  <c r="T67" i="10" l="1"/>
  <c r="U67" i="10" s="1"/>
  <c r="O70" i="7" s="1"/>
  <c r="T27" i="18" s="1"/>
  <c r="Q70" i="7"/>
  <c r="Q27" i="18" s="1"/>
  <c r="O67" i="10"/>
  <c r="P67" i="10" s="1"/>
  <c r="G67" i="10"/>
  <c r="H67" i="10" s="1"/>
  <c r="I67" i="10" s="1"/>
  <c r="I70" i="7" s="1"/>
  <c r="H70" i="7"/>
  <c r="X67" i="10"/>
  <c r="K70" i="7" s="1"/>
  <c r="D32" i="18" l="1"/>
  <c r="O27" i="18"/>
  <c r="G32" i="18"/>
  <c r="P27" i="18"/>
  <c r="F32" i="18"/>
  <c r="N27" i="18"/>
  <c r="G72" i="17"/>
  <c r="J70" i="7"/>
  <c r="E72" i="17" s="1"/>
  <c r="F72" i="17"/>
  <c r="H134" i="7"/>
  <c r="K72" i="17"/>
  <c r="F71" i="7"/>
  <c r="C72" i="17"/>
  <c r="I134" i="7"/>
  <c r="R70" i="7"/>
  <c r="J72" i="17" s="1"/>
  <c r="Q67" i="10"/>
  <c r="R67" i="10" s="1"/>
  <c r="S67" i="10" s="1"/>
  <c r="S70" i="7" s="1"/>
  <c r="Y67" i="10"/>
  <c r="T70" i="7" s="1"/>
  <c r="L72" i="17" l="1"/>
  <c r="R27" i="18"/>
  <c r="D73" i="17"/>
  <c r="L71" i="7"/>
  <c r="B68" i="10"/>
  <c r="E68" i="10" l="1"/>
  <c r="F68" i="10" s="1"/>
  <c r="L68" i="10"/>
  <c r="H73" i="17"/>
  <c r="M68" i="10"/>
  <c r="N68" i="10" s="1"/>
  <c r="O68" i="10" l="1"/>
  <c r="P68" i="10" s="1"/>
  <c r="Q71" i="7"/>
  <c r="T68" i="10"/>
  <c r="U68" i="10" s="1"/>
  <c r="O71" i="7" s="1"/>
  <c r="G68" i="10"/>
  <c r="H68" i="10" s="1"/>
  <c r="I68" i="10" s="1"/>
  <c r="I71" i="7" s="1"/>
  <c r="C73" i="17" s="1"/>
  <c r="H71" i="7"/>
  <c r="X68" i="10"/>
  <c r="K71" i="7" s="1"/>
  <c r="G73" i="17" s="1"/>
  <c r="Q68" i="10" l="1"/>
  <c r="R68" i="10" s="1"/>
  <c r="S68" i="10" s="1"/>
  <c r="S71" i="7" s="1"/>
  <c r="Y68" i="10"/>
  <c r="T71" i="7" s="1"/>
  <c r="L73" i="17" s="1"/>
  <c r="R71" i="7"/>
  <c r="J73" i="17" s="1"/>
  <c r="K73" i="17"/>
  <c r="F72" i="7"/>
  <c r="F73" i="17"/>
  <c r="J71" i="7"/>
  <c r="E73" i="17" s="1"/>
  <c r="D74" i="17" l="1"/>
  <c r="L72" i="7"/>
  <c r="B69" i="10"/>
  <c r="E69" i="10" l="1"/>
  <c r="F69" i="10" s="1"/>
  <c r="L69" i="10"/>
  <c r="M69" i="10"/>
  <c r="N69" i="10" s="1"/>
  <c r="H74" i="17"/>
  <c r="T69" i="10" l="1"/>
  <c r="U69" i="10" s="1"/>
  <c r="O72" i="7" s="1"/>
  <c r="Q72" i="7"/>
  <c r="O69" i="10"/>
  <c r="P69" i="10" s="1"/>
  <c r="G69" i="10"/>
  <c r="H69" i="10" s="1"/>
  <c r="I69" i="10" s="1"/>
  <c r="I72" i="7" s="1"/>
  <c r="C74" i="17" s="1"/>
  <c r="H72" i="7"/>
  <c r="X69" i="10"/>
  <c r="K72" i="7" s="1"/>
  <c r="G74" i="17" s="1"/>
  <c r="K74" i="17" l="1"/>
  <c r="F73" i="7"/>
  <c r="M28" i="18" s="1"/>
  <c r="F74" i="17"/>
  <c r="J72" i="7"/>
  <c r="E74" i="17" s="1"/>
  <c r="Y69" i="10"/>
  <c r="T72" i="7" s="1"/>
  <c r="L74" i="17" s="1"/>
  <c r="R72" i="7"/>
  <c r="J74" i="17" s="1"/>
  <c r="Q69" i="10"/>
  <c r="R69" i="10" s="1"/>
  <c r="S69" i="10" s="1"/>
  <c r="S72" i="7" s="1"/>
  <c r="D75" i="17" l="1"/>
  <c r="L73" i="7"/>
  <c r="S28" i="18" s="1"/>
  <c r="B70" i="10"/>
  <c r="H75" i="17" l="1"/>
  <c r="M70" i="10"/>
  <c r="N70" i="10" s="1"/>
  <c r="L70" i="10"/>
  <c r="E70" i="10"/>
  <c r="F70" i="10" s="1"/>
  <c r="T70" i="10" l="1"/>
  <c r="U70" i="10" s="1"/>
  <c r="O73" i="7" s="1"/>
  <c r="T28" i="18" s="1"/>
  <c r="O70" i="10"/>
  <c r="P70" i="10" s="1"/>
  <c r="Q73" i="7"/>
  <c r="Q28" i="18" s="1"/>
  <c r="H73" i="7"/>
  <c r="N28" i="18" s="1"/>
  <c r="G70" i="10"/>
  <c r="H70" i="10" s="1"/>
  <c r="I70" i="10" s="1"/>
  <c r="I73" i="7" s="1"/>
  <c r="X70" i="10"/>
  <c r="K73" i="7" s="1"/>
  <c r="G75" i="17" l="1"/>
  <c r="P28" i="18"/>
  <c r="C75" i="17"/>
  <c r="O28" i="18"/>
  <c r="F74" i="7"/>
  <c r="K75" i="17"/>
  <c r="J73" i="7"/>
  <c r="E75" i="17" s="1"/>
  <c r="F75" i="17"/>
  <c r="Q70" i="10"/>
  <c r="R70" i="10" s="1"/>
  <c r="S70" i="10" s="1"/>
  <c r="S73" i="7" s="1"/>
  <c r="R73" i="7"/>
  <c r="J75" i="17" s="1"/>
  <c r="Y70" i="10"/>
  <c r="T73" i="7" s="1"/>
  <c r="L75" i="17" l="1"/>
  <c r="R28" i="18"/>
  <c r="D76" i="17"/>
  <c r="B71" i="10"/>
  <c r="L74" i="7"/>
  <c r="L71" i="10" l="1"/>
  <c r="E71" i="10"/>
  <c r="F71" i="10" s="1"/>
  <c r="H76" i="17"/>
  <c r="M71" i="10"/>
  <c r="N71" i="10" s="1"/>
  <c r="Q74" i="7" l="1"/>
  <c r="T71" i="10"/>
  <c r="U71" i="10" s="1"/>
  <c r="O74" i="7" s="1"/>
  <c r="O71" i="10"/>
  <c r="P71" i="10" s="1"/>
  <c r="H74" i="7"/>
  <c r="G71" i="10"/>
  <c r="H71" i="10" s="1"/>
  <c r="I71" i="10" s="1"/>
  <c r="I74" i="7" s="1"/>
  <c r="C76" i="17" s="1"/>
  <c r="X71" i="10"/>
  <c r="K74" i="7" s="1"/>
  <c r="G76" i="17" s="1"/>
  <c r="Y71" i="10" l="1"/>
  <c r="T74" i="7" s="1"/>
  <c r="L76" i="17" s="1"/>
  <c r="R74" i="7"/>
  <c r="J76" i="17" s="1"/>
  <c r="Q71" i="10"/>
  <c r="R71" i="10" s="1"/>
  <c r="S71" i="10" s="1"/>
  <c r="S74" i="7" s="1"/>
  <c r="F76" i="17"/>
  <c r="J74" i="7"/>
  <c r="E76" i="17" s="1"/>
  <c r="K76" i="17"/>
  <c r="F75" i="7"/>
  <c r="E33" i="18" l="1"/>
  <c r="M29" i="18"/>
  <c r="L75" i="7"/>
  <c r="S29" i="18" s="1"/>
  <c r="B72" i="10"/>
  <c r="D77" i="17"/>
  <c r="F135" i="7"/>
  <c r="L72" i="10" l="1"/>
  <c r="E72" i="10"/>
  <c r="F72" i="10" s="1"/>
  <c r="H77" i="17"/>
  <c r="M72" i="10"/>
  <c r="N72" i="10" s="1"/>
  <c r="Q75" i="7" l="1"/>
  <c r="Q29" i="18" s="1"/>
  <c r="O72" i="10"/>
  <c r="P72" i="10" s="1"/>
  <c r="T72" i="10"/>
  <c r="U72" i="10" s="1"/>
  <c r="O75" i="7" s="1"/>
  <c r="T29" i="18" s="1"/>
  <c r="H75" i="7"/>
  <c r="X72" i="10"/>
  <c r="K75" i="7" s="1"/>
  <c r="G72" i="10"/>
  <c r="H72" i="10" s="1"/>
  <c r="I72" i="10" s="1"/>
  <c r="I75" i="7" s="1"/>
  <c r="G33" i="18" l="1"/>
  <c r="P29" i="18"/>
  <c r="D33" i="18"/>
  <c r="O29" i="18"/>
  <c r="F33" i="18"/>
  <c r="N29" i="18"/>
  <c r="I135" i="7"/>
  <c r="C77" i="17"/>
  <c r="Y72" i="10"/>
  <c r="T75" i="7" s="1"/>
  <c r="Q72" i="10"/>
  <c r="R72" i="10" s="1"/>
  <c r="S72" i="10" s="1"/>
  <c r="S75" i="7" s="1"/>
  <c r="R75" i="7"/>
  <c r="J77" i="17" s="1"/>
  <c r="G77" i="17"/>
  <c r="H135" i="7"/>
  <c r="F77" i="17"/>
  <c r="J75" i="7"/>
  <c r="E77" i="17" s="1"/>
  <c r="F76" i="7"/>
  <c r="K77" i="17"/>
  <c r="L77" i="17" l="1"/>
  <c r="R29" i="18"/>
  <c r="D78" i="17"/>
  <c r="L76" i="7"/>
  <c r="B73" i="10"/>
  <c r="H78" i="17" l="1"/>
  <c r="M73" i="10"/>
  <c r="N73" i="10" s="1"/>
  <c r="E73" i="10"/>
  <c r="F73" i="10" s="1"/>
  <c r="L73" i="10"/>
  <c r="X73" i="10" l="1"/>
  <c r="K76" i="7" s="1"/>
  <c r="G78" i="17" s="1"/>
  <c r="G73" i="10"/>
  <c r="H73" i="10" s="1"/>
  <c r="I73" i="10" s="1"/>
  <c r="I76" i="7" s="1"/>
  <c r="C78" i="17" s="1"/>
  <c r="H76" i="7"/>
  <c r="Q76" i="7"/>
  <c r="T73" i="10"/>
  <c r="O73" i="10"/>
  <c r="P73" i="10" s="1"/>
  <c r="F77" i="7" l="1"/>
  <c r="K78" i="17"/>
  <c r="F78" i="17"/>
  <c r="J76" i="7"/>
  <c r="E78" i="17" s="1"/>
  <c r="Q73" i="10"/>
  <c r="R73" i="10" s="1"/>
  <c r="S73" i="10" s="1"/>
  <c r="S76" i="7" s="1"/>
  <c r="R76" i="7"/>
  <c r="J78" i="17" s="1"/>
  <c r="Y73" i="10"/>
  <c r="T76" i="7" s="1"/>
  <c r="L78" i="17" s="1"/>
  <c r="U73" i="10"/>
  <c r="O76" i="7" s="1"/>
  <c r="B74" i="10" l="1"/>
  <c r="E74" i="10" s="1"/>
  <c r="F74" i="10" s="1"/>
  <c r="D79" i="17"/>
  <c r="L77" i="7"/>
  <c r="L74" i="10" l="1"/>
  <c r="G74" i="10" s="1"/>
  <c r="H74" i="10" s="1"/>
  <c r="I74" i="10" s="1"/>
  <c r="I77" i="7" s="1"/>
  <c r="C79" i="17" s="1"/>
  <c r="H79" i="17"/>
  <c r="M74" i="10"/>
  <c r="N74" i="10" s="1"/>
  <c r="H77" i="7" l="1"/>
  <c r="F79" i="17" s="1"/>
  <c r="X74" i="10"/>
  <c r="K77" i="7" s="1"/>
  <c r="G79" i="17" s="1"/>
  <c r="T74" i="10"/>
  <c r="Q77" i="7"/>
  <c r="O74" i="10"/>
  <c r="P74" i="10" s="1"/>
  <c r="J77" i="7" l="1"/>
  <c r="E79" i="17" s="1"/>
  <c r="F78" i="7"/>
  <c r="K79" i="17"/>
  <c r="Q74" i="10"/>
  <c r="R74" i="10" s="1"/>
  <c r="S74" i="10" s="1"/>
  <c r="S77" i="7" s="1"/>
  <c r="R77" i="7"/>
  <c r="J79" i="17" s="1"/>
  <c r="Y74" i="10"/>
  <c r="T77" i="7" s="1"/>
  <c r="L79" i="17" s="1"/>
  <c r="U74" i="10"/>
  <c r="O77" i="7" s="1"/>
  <c r="D80" i="17" l="1"/>
  <c r="B75" i="10"/>
  <c r="L78" i="7"/>
  <c r="H80" i="17" l="1"/>
  <c r="M75" i="10"/>
  <c r="N75" i="10" s="1"/>
  <c r="E75" i="10"/>
  <c r="F75" i="10" s="1"/>
  <c r="L75" i="10"/>
  <c r="G75" i="10" l="1"/>
  <c r="H75" i="10" s="1"/>
  <c r="I75" i="10" s="1"/>
  <c r="I78" i="7" s="1"/>
  <c r="C80" i="17" s="1"/>
  <c r="X75" i="10"/>
  <c r="K78" i="7" s="1"/>
  <c r="G80" i="17" s="1"/>
  <c r="H78" i="7"/>
  <c r="O75" i="10"/>
  <c r="P75" i="10" s="1"/>
  <c r="Q78" i="7"/>
  <c r="T75" i="10"/>
  <c r="U75" i="10" s="1"/>
  <c r="O78" i="7" s="1"/>
  <c r="K80" i="17" l="1"/>
  <c r="F79" i="7"/>
  <c r="J78" i="7"/>
  <c r="E80" i="17" s="1"/>
  <c r="F80" i="17"/>
  <c r="R78" i="7"/>
  <c r="J80" i="17" s="1"/>
  <c r="Y75" i="10"/>
  <c r="T78" i="7" s="1"/>
  <c r="L80" i="17" s="1"/>
  <c r="Q75" i="10"/>
  <c r="R75" i="10" s="1"/>
  <c r="S75" i="10" s="1"/>
  <c r="S78" i="7" s="1"/>
  <c r="D81" i="17" l="1"/>
  <c r="B76" i="10"/>
  <c r="L79" i="7"/>
  <c r="E76" i="10" l="1"/>
  <c r="F76" i="10" s="1"/>
  <c r="L76" i="10"/>
  <c r="M76" i="10"/>
  <c r="N76" i="10" s="1"/>
  <c r="H81" i="17"/>
  <c r="X76" i="10" l="1"/>
  <c r="K79" i="7" s="1"/>
  <c r="G81" i="17" s="1"/>
  <c r="G76" i="10"/>
  <c r="H76" i="10" s="1"/>
  <c r="I76" i="10" s="1"/>
  <c r="I79" i="7" s="1"/>
  <c r="C81" i="17" s="1"/>
  <c r="H79" i="7"/>
  <c r="T76" i="10"/>
  <c r="Q79" i="7"/>
  <c r="O76" i="10"/>
  <c r="P76" i="10" s="1"/>
  <c r="K81" i="17" l="1"/>
  <c r="F80" i="7"/>
  <c r="E34" i="18" s="1"/>
  <c r="J79" i="7"/>
  <c r="E81" i="17" s="1"/>
  <c r="F81" i="17"/>
  <c r="Y76" i="10"/>
  <c r="T79" i="7" s="1"/>
  <c r="L81" i="17" s="1"/>
  <c r="R79" i="7"/>
  <c r="J81" i="17" s="1"/>
  <c r="Q76" i="10"/>
  <c r="R76" i="10" s="1"/>
  <c r="S76" i="10" s="1"/>
  <c r="S79" i="7" s="1"/>
  <c r="U76" i="10"/>
  <c r="O79" i="7" s="1"/>
  <c r="D82" i="17" l="1"/>
  <c r="B77" i="10"/>
  <c r="F136" i="7"/>
  <c r="L80" i="7"/>
  <c r="H82" i="17" l="1"/>
  <c r="M77" i="10"/>
  <c r="N77" i="10" s="1"/>
  <c r="E77" i="10"/>
  <c r="F77" i="10" s="1"/>
  <c r="L77" i="10"/>
  <c r="G77" i="10" l="1"/>
  <c r="H77" i="10" s="1"/>
  <c r="I77" i="10" s="1"/>
  <c r="I80" i="7" s="1"/>
  <c r="D34" i="18" s="1"/>
  <c r="H80" i="7"/>
  <c r="F34" i="18" s="1"/>
  <c r="X77" i="10"/>
  <c r="K80" i="7" s="1"/>
  <c r="G34" i="18" s="1"/>
  <c r="O77" i="10"/>
  <c r="P77" i="10" s="1"/>
  <c r="T77" i="10"/>
  <c r="U77" i="10" s="1"/>
  <c r="O80" i="7" s="1"/>
  <c r="Q80" i="7"/>
  <c r="K82" i="17" l="1"/>
  <c r="F81" i="7"/>
  <c r="F82" i="17"/>
  <c r="J80" i="7"/>
  <c r="E82" i="17" s="1"/>
  <c r="H136" i="7"/>
  <c r="Q77" i="10"/>
  <c r="R77" i="10" s="1"/>
  <c r="S77" i="10" s="1"/>
  <c r="S80" i="7" s="1"/>
  <c r="Y77" i="10"/>
  <c r="T80" i="7" s="1"/>
  <c r="L82" i="17" s="1"/>
  <c r="R80" i="7"/>
  <c r="J82" i="17" s="1"/>
  <c r="G82" i="17"/>
  <c r="C82" i="17"/>
  <c r="I136" i="7"/>
  <c r="D83" i="17" l="1"/>
  <c r="B78" i="10"/>
  <c r="L81" i="7"/>
  <c r="H83" i="17" l="1"/>
  <c r="M78" i="10"/>
  <c r="N78" i="10" s="1"/>
  <c r="E78" i="10"/>
  <c r="F78" i="10" s="1"/>
  <c r="L78" i="10"/>
  <c r="X78" i="10" l="1"/>
  <c r="K81" i="7" s="1"/>
  <c r="G83" i="17" s="1"/>
  <c r="G78" i="10"/>
  <c r="H78" i="10" s="1"/>
  <c r="I78" i="10" s="1"/>
  <c r="I81" i="7" s="1"/>
  <c r="C83" i="17" s="1"/>
  <c r="H81" i="7"/>
  <c r="O78" i="10"/>
  <c r="P78" i="10" s="1"/>
  <c r="Q81" i="7"/>
  <c r="T78" i="10"/>
  <c r="R81" i="7" l="1"/>
  <c r="J83" i="17" s="1"/>
  <c r="Y78" i="10"/>
  <c r="T81" i="7" s="1"/>
  <c r="L83" i="17" s="1"/>
  <c r="Q78" i="10"/>
  <c r="R78" i="10" s="1"/>
  <c r="S78" i="10" s="1"/>
  <c r="S81" i="7" s="1"/>
  <c r="K83" i="17"/>
  <c r="F82" i="7"/>
  <c r="U78" i="10"/>
  <c r="O81" i="7" s="1"/>
  <c r="F83" i="17"/>
  <c r="J81" i="7"/>
  <c r="E83" i="17" s="1"/>
  <c r="D84" i="17" l="1"/>
  <c r="L82" i="7"/>
  <c r="B79" i="10"/>
  <c r="M79" i="10" l="1"/>
  <c r="N79" i="10" s="1"/>
  <c r="H84" i="17"/>
  <c r="L79" i="10"/>
  <c r="E79" i="10"/>
  <c r="F79" i="10" s="1"/>
  <c r="G79" i="10" l="1"/>
  <c r="H79" i="10" s="1"/>
  <c r="I79" i="10" s="1"/>
  <c r="I82" i="7" s="1"/>
  <c r="C84" i="17" s="1"/>
  <c r="H82" i="7"/>
  <c r="X79" i="10"/>
  <c r="K82" i="7" s="1"/>
  <c r="G84" i="17" s="1"/>
  <c r="O79" i="10"/>
  <c r="P79" i="10" s="1"/>
  <c r="T79" i="10"/>
  <c r="U79" i="10" s="1"/>
  <c r="O82" i="7" s="1"/>
  <c r="Q82" i="7"/>
  <c r="F83" i="7" l="1"/>
  <c r="K84" i="17"/>
  <c r="J82" i="7"/>
  <c r="E84" i="17" s="1"/>
  <c r="F84" i="17"/>
  <c r="R82" i="7"/>
  <c r="J84" i="17" s="1"/>
  <c r="Y79" i="10"/>
  <c r="T82" i="7" s="1"/>
  <c r="L84" i="17" s="1"/>
  <c r="Q79" i="10"/>
  <c r="R79" i="10" s="1"/>
  <c r="S79" i="10" s="1"/>
  <c r="S82" i="7" s="1"/>
  <c r="D85" i="17" l="1"/>
  <c r="L83" i="7"/>
  <c r="B80" i="10"/>
  <c r="E80" i="10" l="1"/>
  <c r="F80" i="10" s="1"/>
  <c r="L80" i="10"/>
  <c r="M80" i="10"/>
  <c r="N80" i="10" s="1"/>
  <c r="H85" i="17"/>
  <c r="X80" i="10" l="1"/>
  <c r="K83" i="7" s="1"/>
  <c r="G85" i="17" s="1"/>
  <c r="G80" i="10"/>
  <c r="H80" i="10" s="1"/>
  <c r="I80" i="10" s="1"/>
  <c r="I83" i="7" s="1"/>
  <c r="C85" i="17" s="1"/>
  <c r="H83" i="7"/>
  <c r="Q83" i="7"/>
  <c r="O80" i="10"/>
  <c r="P80" i="10" s="1"/>
  <c r="T80" i="10"/>
  <c r="Y80" i="10" l="1"/>
  <c r="T83" i="7" s="1"/>
  <c r="L85" i="17" s="1"/>
  <c r="Q80" i="10"/>
  <c r="R80" i="10" s="1"/>
  <c r="S80" i="10" s="1"/>
  <c r="S83" i="7" s="1"/>
  <c r="R83" i="7"/>
  <c r="J85" i="17" s="1"/>
  <c r="K85" i="17"/>
  <c r="F84" i="7"/>
  <c r="U80" i="10"/>
  <c r="O83" i="7" s="1"/>
  <c r="J83" i="7"/>
  <c r="E85" i="17" s="1"/>
  <c r="F85" i="17"/>
  <c r="D86" i="17" l="1"/>
  <c r="B81" i="10"/>
  <c r="L84" i="7"/>
  <c r="H86" i="17" l="1"/>
  <c r="M81" i="10"/>
  <c r="N81" i="10" s="1"/>
  <c r="L81" i="10"/>
  <c r="E81" i="10"/>
  <c r="F81" i="10" s="1"/>
  <c r="X81" i="10" l="1"/>
  <c r="K84" i="7" s="1"/>
  <c r="G86" i="17" s="1"/>
  <c r="H84" i="7"/>
  <c r="G81" i="10"/>
  <c r="H81" i="10" s="1"/>
  <c r="I81" i="10" s="1"/>
  <c r="I84" i="7" s="1"/>
  <c r="C86" i="17" s="1"/>
  <c r="T81" i="10"/>
  <c r="O81" i="10"/>
  <c r="P81" i="10" s="1"/>
  <c r="Q84" i="7"/>
  <c r="K86" i="17" l="1"/>
  <c r="F85" i="7"/>
  <c r="J84" i="7"/>
  <c r="E86" i="17" s="1"/>
  <c r="F86" i="17"/>
  <c r="R84" i="7"/>
  <c r="J86" i="17" s="1"/>
  <c r="Y81" i="10"/>
  <c r="T84" i="7" s="1"/>
  <c r="L86" i="17" s="1"/>
  <c r="Q81" i="10"/>
  <c r="R81" i="10" s="1"/>
  <c r="S81" i="10" s="1"/>
  <c r="S84" i="7" s="1"/>
  <c r="U81" i="10"/>
  <c r="O84" i="7" s="1"/>
  <c r="E35" i="18" l="1"/>
  <c r="M30" i="18"/>
  <c r="F137" i="7"/>
  <c r="L85" i="7"/>
  <c r="S30" i="18" s="1"/>
  <c r="B82" i="10"/>
  <c r="D87" i="17"/>
  <c r="E82" i="10" l="1"/>
  <c r="F82" i="10" s="1"/>
  <c r="L82" i="10"/>
  <c r="H87" i="17"/>
  <c r="M82" i="10"/>
  <c r="N82" i="10" s="1"/>
  <c r="Q85" i="7" l="1"/>
  <c r="Q30" i="18" s="1"/>
  <c r="T82" i="10"/>
  <c r="U82" i="10" s="1"/>
  <c r="O85" i="7" s="1"/>
  <c r="T30" i="18" s="1"/>
  <c r="T31" i="18" s="1"/>
  <c r="O82" i="10"/>
  <c r="P82" i="10" s="1"/>
  <c r="X82" i="10"/>
  <c r="K85" i="7" s="1"/>
  <c r="G82" i="10"/>
  <c r="H82" i="10" s="1"/>
  <c r="I82" i="10" s="1"/>
  <c r="I85" i="7" s="1"/>
  <c r="H85" i="7"/>
  <c r="D35" i="18" l="1"/>
  <c r="O30" i="18"/>
  <c r="F35" i="18"/>
  <c r="N30" i="18"/>
  <c r="G35" i="18"/>
  <c r="P30" i="18"/>
  <c r="H137" i="7"/>
  <c r="J85" i="7"/>
  <c r="E87" i="17" s="1"/>
  <c r="F87" i="17"/>
  <c r="G87" i="17"/>
  <c r="R85" i="7"/>
  <c r="J87" i="17" s="1"/>
  <c r="Y82" i="10"/>
  <c r="T85" i="7" s="1"/>
  <c r="Q82" i="10"/>
  <c r="R82" i="10" s="1"/>
  <c r="S82" i="10" s="1"/>
  <c r="S85" i="7" s="1"/>
  <c r="C87" i="17"/>
  <c r="I137" i="7"/>
  <c r="F86" i="7"/>
  <c r="K87" i="17"/>
  <c r="L87" i="17" l="1"/>
  <c r="R30" i="18"/>
  <c r="D88" i="17"/>
  <c r="B83" i="10"/>
  <c r="L86" i="7"/>
  <c r="M83" i="10" l="1"/>
  <c r="N83" i="10" s="1"/>
  <c r="H88" i="17"/>
  <c r="L83" i="10"/>
  <c r="E83" i="10"/>
  <c r="F83" i="10" s="1"/>
  <c r="O83" i="10" l="1"/>
  <c r="P83" i="10" s="1"/>
  <c r="Q86" i="7"/>
  <c r="T83" i="10"/>
  <c r="U83" i="10" s="1"/>
  <c r="O86" i="7" s="1"/>
  <c r="G83" i="10"/>
  <c r="H83" i="10" s="1"/>
  <c r="I83" i="10" s="1"/>
  <c r="I86" i="7" s="1"/>
  <c r="C88" i="17" s="1"/>
  <c r="X83" i="10"/>
  <c r="K86" i="7" s="1"/>
  <c r="G88" i="17" s="1"/>
  <c r="H86" i="7"/>
  <c r="Q83" i="10" l="1"/>
  <c r="R83" i="10" s="1"/>
  <c r="S83" i="10" s="1"/>
  <c r="S86" i="7" s="1"/>
  <c r="Y83" i="10"/>
  <c r="T86" i="7" s="1"/>
  <c r="L88" i="17" s="1"/>
  <c r="R86" i="7"/>
  <c r="J88" i="17" s="1"/>
  <c r="F87" i="7"/>
  <c r="K88" i="17"/>
  <c r="J86" i="7"/>
  <c r="E88" i="17" s="1"/>
  <c r="F88" i="17"/>
  <c r="D89" i="17" l="1"/>
  <c r="L87" i="7"/>
  <c r="B84" i="10"/>
  <c r="E84" i="10" l="1"/>
  <c r="F84" i="10" s="1"/>
  <c r="L84" i="10"/>
  <c r="M84" i="10"/>
  <c r="N84" i="10" s="1"/>
  <c r="H89" i="17"/>
  <c r="X84" i="10" l="1"/>
  <c r="K87" i="7" s="1"/>
  <c r="G89" i="17" s="1"/>
  <c r="H87" i="7"/>
  <c r="G84" i="10"/>
  <c r="H84" i="10" s="1"/>
  <c r="I84" i="10" s="1"/>
  <c r="I87" i="7" s="1"/>
  <c r="C89" i="17" s="1"/>
  <c r="T84" i="10"/>
  <c r="O84" i="10"/>
  <c r="P84" i="10" s="1"/>
  <c r="Q87" i="7"/>
  <c r="F88" i="7" l="1"/>
  <c r="K89" i="17"/>
  <c r="F89" i="17"/>
  <c r="J87" i="7"/>
  <c r="E89" i="17" s="1"/>
  <c r="Y84" i="10"/>
  <c r="T87" i="7" s="1"/>
  <c r="L89" i="17" s="1"/>
  <c r="Q84" i="10"/>
  <c r="R84" i="10" s="1"/>
  <c r="S84" i="10" s="1"/>
  <c r="S87" i="7" s="1"/>
  <c r="R87" i="7"/>
  <c r="J89" i="17" s="1"/>
  <c r="U84" i="10"/>
  <c r="O87" i="7" s="1"/>
  <c r="D90" i="17" l="1"/>
  <c r="B85" i="10"/>
  <c r="L88" i="7"/>
  <c r="L85" i="10" l="1"/>
  <c r="E85" i="10"/>
  <c r="F85" i="10" s="1"/>
  <c r="H90" i="17"/>
  <c r="M85" i="10"/>
  <c r="N85" i="10" s="1"/>
  <c r="Q88" i="7" l="1"/>
  <c r="O85" i="10"/>
  <c r="P85" i="10" s="1"/>
  <c r="T85" i="10"/>
  <c r="U85" i="10" s="1"/>
  <c r="O88" i="7" s="1"/>
  <c r="X85" i="10"/>
  <c r="K88" i="7" s="1"/>
  <c r="G90" i="17" s="1"/>
  <c r="H88" i="7"/>
  <c r="G85" i="10"/>
  <c r="H85" i="10" s="1"/>
  <c r="I85" i="10" s="1"/>
  <c r="I88" i="7" s="1"/>
  <c r="C90" i="17" s="1"/>
  <c r="F90" i="17" l="1"/>
  <c r="J88" i="7"/>
  <c r="E90" i="17" s="1"/>
  <c r="Q85" i="10"/>
  <c r="R85" i="10" s="1"/>
  <c r="S85" i="10" s="1"/>
  <c r="S88" i="7" s="1"/>
  <c r="R88" i="7"/>
  <c r="J90" i="17" s="1"/>
  <c r="Y85" i="10"/>
  <c r="T88" i="7" s="1"/>
  <c r="L90" i="17" s="1"/>
  <c r="F89" i="7"/>
  <c r="K90" i="17"/>
  <c r="F121" i="1"/>
  <c r="B118" i="10"/>
  <c r="L5" i="1"/>
  <c r="D91" i="17" l="1"/>
  <c r="L89" i="7"/>
  <c r="B86" i="10"/>
  <c r="M5" i="1"/>
  <c r="H7" i="14"/>
  <c r="M118" i="10"/>
  <c r="N118" i="10" s="1"/>
  <c r="E118" i="10"/>
  <c r="F118" i="10" s="1"/>
  <c r="L118" i="10"/>
  <c r="L86" i="10" l="1"/>
  <c r="E86" i="10"/>
  <c r="F86" i="10" s="1"/>
  <c r="M86" i="10"/>
  <c r="N86" i="10" s="1"/>
  <c r="H91" i="17"/>
  <c r="N5" i="1"/>
  <c r="I7" i="14"/>
  <c r="O118" i="10"/>
  <c r="P118" i="10" s="1"/>
  <c r="T118" i="10"/>
  <c r="U118" i="10" s="1"/>
  <c r="O5" i="1" s="1"/>
  <c r="J7" i="14" s="1"/>
  <c r="S5" i="1"/>
  <c r="X118" i="10"/>
  <c r="K5" i="1" s="1"/>
  <c r="G118" i="10"/>
  <c r="H118" i="10" s="1"/>
  <c r="I118" i="10" s="1"/>
  <c r="I5" i="1" s="1"/>
  <c r="H5" i="1"/>
  <c r="F7" i="14" l="1"/>
  <c r="C7" i="14"/>
  <c r="G7" i="14"/>
  <c r="T86" i="10"/>
  <c r="U86" i="10" s="1"/>
  <c r="O89" i="7" s="1"/>
  <c r="O86" i="10"/>
  <c r="P86" i="10" s="1"/>
  <c r="Q89" i="7"/>
  <c r="X86" i="10"/>
  <c r="K89" i="7" s="1"/>
  <c r="G91" i="17" s="1"/>
  <c r="H89" i="7"/>
  <c r="G86" i="10"/>
  <c r="H86" i="10" s="1"/>
  <c r="I86" i="10" s="1"/>
  <c r="I89" i="7" s="1"/>
  <c r="C91" i="17" s="1"/>
  <c r="F6" i="1"/>
  <c r="D8" i="14" s="1"/>
  <c r="K7" i="14"/>
  <c r="Z5" i="1"/>
  <c r="W5" i="1"/>
  <c r="I121" i="1"/>
  <c r="D19" i="12"/>
  <c r="G19" i="12"/>
  <c r="F19" i="12"/>
  <c r="H121" i="1"/>
  <c r="J5" i="1"/>
  <c r="E7" i="14" s="1"/>
  <c r="Q118" i="10"/>
  <c r="R118" i="10" s="1"/>
  <c r="S118" i="10" s="1"/>
  <c r="U5" i="1" s="1"/>
  <c r="T5" i="1"/>
  <c r="Y118" i="10"/>
  <c r="V5" i="1" s="1"/>
  <c r="L7" i="14" s="1"/>
  <c r="L6" i="1" l="1"/>
  <c r="H8" i="14" s="1"/>
  <c r="J89" i="7"/>
  <c r="E91" i="17" s="1"/>
  <c r="F91" i="17"/>
  <c r="F90" i="7"/>
  <c r="E36" i="18" s="1"/>
  <c r="K91" i="17"/>
  <c r="B119" i="10"/>
  <c r="E119" i="10" s="1"/>
  <c r="F119" i="10" s="1"/>
  <c r="Y86" i="10"/>
  <c r="T89" i="7" s="1"/>
  <c r="L91" i="17" s="1"/>
  <c r="Q86" i="10"/>
  <c r="R86" i="10" s="1"/>
  <c r="S86" i="10" s="1"/>
  <c r="S89" i="7" s="1"/>
  <c r="R89" i="7"/>
  <c r="J91" i="17" s="1"/>
  <c r="M6" i="1" l="1"/>
  <c r="M119" i="10"/>
  <c r="N119" i="10" s="1"/>
  <c r="O119" i="10" s="1"/>
  <c r="P119" i="10" s="1"/>
  <c r="L119" i="10"/>
  <c r="G119" i="10" s="1"/>
  <c r="H119" i="10" s="1"/>
  <c r="I119" i="10" s="1"/>
  <c r="I6" i="1" s="1"/>
  <c r="C8" i="14" s="1"/>
  <c r="L90" i="7"/>
  <c r="B87" i="10"/>
  <c r="F138" i="7"/>
  <c r="D92" i="17"/>
  <c r="N6" i="1"/>
  <c r="Z6" i="1" s="1"/>
  <c r="I8" i="14"/>
  <c r="H6" i="1" l="1"/>
  <c r="F8" i="14" s="1"/>
  <c r="X119" i="10"/>
  <c r="K6" i="1" s="1"/>
  <c r="G8" i="14" s="1"/>
  <c r="S6" i="1"/>
  <c r="K8" i="14" s="1"/>
  <c r="T119" i="10"/>
  <c r="Q119" i="10" s="1"/>
  <c r="R119" i="10" s="1"/>
  <c r="S119" i="10" s="1"/>
  <c r="U6" i="1" s="1"/>
  <c r="E87" i="10"/>
  <c r="F87" i="10" s="1"/>
  <c r="L87" i="10"/>
  <c r="H92" i="17"/>
  <c r="M87" i="10"/>
  <c r="N87" i="10" s="1"/>
  <c r="W6" i="1"/>
  <c r="J6" i="1" l="1"/>
  <c r="E8" i="14" s="1"/>
  <c r="U119" i="10"/>
  <c r="O6" i="1" s="1"/>
  <c r="J8" i="14" s="1"/>
  <c r="T6" i="1"/>
  <c r="Y119" i="10"/>
  <c r="V6" i="1" s="1"/>
  <c r="L8" i="14" s="1"/>
  <c r="F7" i="1"/>
  <c r="D9" i="14" s="1"/>
  <c r="O87" i="10"/>
  <c r="P87" i="10" s="1"/>
  <c r="Q90" i="7"/>
  <c r="T87" i="10"/>
  <c r="U87" i="10" s="1"/>
  <c r="O90" i="7" s="1"/>
  <c r="G87" i="10"/>
  <c r="H87" i="10" s="1"/>
  <c r="I87" i="10" s="1"/>
  <c r="I90" i="7" s="1"/>
  <c r="D36" i="18" s="1"/>
  <c r="X87" i="10"/>
  <c r="K90" i="7" s="1"/>
  <c r="G36" i="18" s="1"/>
  <c r="H90" i="7"/>
  <c r="F36" i="18" s="1"/>
  <c r="L7" i="1" l="1"/>
  <c r="H9" i="14" s="1"/>
  <c r="B120" i="10"/>
  <c r="L120" i="10" s="1"/>
  <c r="H7" i="1" s="1"/>
  <c r="J90" i="7"/>
  <c r="E92" i="17" s="1"/>
  <c r="F92" i="17"/>
  <c r="H138" i="7"/>
  <c r="G92" i="17"/>
  <c r="R90" i="7"/>
  <c r="J92" i="17" s="1"/>
  <c r="Y87" i="10"/>
  <c r="T90" i="7" s="1"/>
  <c r="L92" i="17" s="1"/>
  <c r="Q87" i="10"/>
  <c r="R87" i="10" s="1"/>
  <c r="S87" i="10" s="1"/>
  <c r="S90" i="7" s="1"/>
  <c r="K92" i="17"/>
  <c r="F91" i="7"/>
  <c r="C92" i="17"/>
  <c r="I138" i="7"/>
  <c r="M120" i="10" l="1"/>
  <c r="N120" i="10" s="1"/>
  <c r="X120" i="10"/>
  <c r="K7" i="1" s="1"/>
  <c r="G9" i="14" s="1"/>
  <c r="M7" i="1"/>
  <c r="N7" i="1" s="1"/>
  <c r="Z7" i="1" s="1"/>
  <c r="E120" i="10"/>
  <c r="F120" i="10" s="1"/>
  <c r="G120" i="10" s="1"/>
  <c r="H120" i="10" s="1"/>
  <c r="I120" i="10" s="1"/>
  <c r="I7" i="1" s="1"/>
  <c r="C9" i="14" s="1"/>
  <c r="D93" i="17"/>
  <c r="L91" i="7"/>
  <c r="B88" i="10"/>
  <c r="J7" i="1"/>
  <c r="E9" i="14" s="1"/>
  <c r="F9" i="14"/>
  <c r="O120" i="10" l="1"/>
  <c r="P120" i="10" s="1"/>
  <c r="S7" i="1"/>
  <c r="K9" i="14" s="1"/>
  <c r="T120" i="10"/>
  <c r="U120" i="10" s="1"/>
  <c r="O7" i="1" s="1"/>
  <c r="J9" i="14" s="1"/>
  <c r="W7" i="1"/>
  <c r="I9" i="14"/>
  <c r="L88" i="10"/>
  <c r="E88" i="10"/>
  <c r="F88" i="10" s="1"/>
  <c r="H93" i="17"/>
  <c r="M88" i="10"/>
  <c r="N88" i="10" s="1"/>
  <c r="F8" i="1" l="1"/>
  <c r="D10" i="14" s="1"/>
  <c r="T7" i="1"/>
  <c r="Y120" i="10"/>
  <c r="V7" i="1" s="1"/>
  <c r="L9" i="14" s="1"/>
  <c r="Q120" i="10"/>
  <c r="R120" i="10" s="1"/>
  <c r="S120" i="10" s="1"/>
  <c r="U7" i="1" s="1"/>
  <c r="X7" i="1"/>
  <c r="O88" i="10"/>
  <c r="P88" i="10" s="1"/>
  <c r="Q91" i="7"/>
  <c r="T88" i="10"/>
  <c r="H91" i="7"/>
  <c r="X88" i="10"/>
  <c r="K91" i="7" s="1"/>
  <c r="G93" i="17" s="1"/>
  <c r="G88" i="10"/>
  <c r="H88" i="10" s="1"/>
  <c r="I88" i="10" s="1"/>
  <c r="I91" i="7" s="1"/>
  <c r="C93" i="17" s="1"/>
  <c r="L8" i="1" l="1"/>
  <c r="M121" i="10" s="1"/>
  <c r="B121" i="10"/>
  <c r="Q88" i="10"/>
  <c r="R88" i="10" s="1"/>
  <c r="S88" i="10" s="1"/>
  <c r="S91" i="7" s="1"/>
  <c r="Y88" i="10"/>
  <c r="T91" i="7" s="1"/>
  <c r="L93" i="17" s="1"/>
  <c r="R91" i="7"/>
  <c r="J93" i="17" s="1"/>
  <c r="J91" i="7"/>
  <c r="E93" i="17" s="1"/>
  <c r="F93" i="17"/>
  <c r="F92" i="7"/>
  <c r="K93" i="17"/>
  <c r="U88" i="10"/>
  <c r="O91" i="7" s="1"/>
  <c r="N121" i="10" l="1"/>
  <c r="O121" i="10" s="1"/>
  <c r="P121" i="10" s="1"/>
  <c r="E121" i="10"/>
  <c r="F121" i="10" s="1"/>
  <c r="L121" i="10"/>
  <c r="H10" i="14"/>
  <c r="M8" i="1"/>
  <c r="T121" i="10"/>
  <c r="U121" i="10" s="1"/>
  <c r="O8" i="1" s="1"/>
  <c r="J10" i="14" s="1"/>
  <c r="D94" i="17"/>
  <c r="B89" i="10"/>
  <c r="L92" i="7"/>
  <c r="S8" i="1" l="1"/>
  <c r="F9" i="1" s="1"/>
  <c r="D11" i="14" s="1"/>
  <c r="I10" i="14"/>
  <c r="N8" i="1"/>
  <c r="T8" i="1"/>
  <c r="G121" i="10"/>
  <c r="H121" i="10" s="1"/>
  <c r="I121" i="10" s="1"/>
  <c r="I8" i="1" s="1"/>
  <c r="C10" i="14" s="1"/>
  <c r="X121" i="10"/>
  <c r="K8" i="1" s="1"/>
  <c r="G10" i="14" s="1"/>
  <c r="H8" i="1"/>
  <c r="Y121" i="10"/>
  <c r="V8" i="1" s="1"/>
  <c r="L10" i="14" s="1"/>
  <c r="Q121" i="10"/>
  <c r="R121" i="10" s="1"/>
  <c r="S121" i="10" s="1"/>
  <c r="U8" i="1" s="1"/>
  <c r="E89" i="10"/>
  <c r="F89" i="10" s="1"/>
  <c r="L89" i="10"/>
  <c r="H94" i="17"/>
  <c r="M89" i="10"/>
  <c r="N89" i="10" s="1"/>
  <c r="B122" i="10" l="1"/>
  <c r="K10" i="14"/>
  <c r="L9" i="1"/>
  <c r="H11" i="14" s="1"/>
  <c r="F10" i="14"/>
  <c r="J8" i="1"/>
  <c r="E10" i="14" s="1"/>
  <c r="Z8" i="1"/>
  <c r="W8" i="1"/>
  <c r="M122" i="10"/>
  <c r="G89" i="10"/>
  <c r="H89" i="10" s="1"/>
  <c r="I89" i="10" s="1"/>
  <c r="I92" i="7" s="1"/>
  <c r="C94" i="17" s="1"/>
  <c r="X89" i="10"/>
  <c r="K92" i="7" s="1"/>
  <c r="G94" i="17" s="1"/>
  <c r="H92" i="7"/>
  <c r="O89" i="10"/>
  <c r="P89" i="10" s="1"/>
  <c r="T89" i="10"/>
  <c r="Q92" i="7"/>
  <c r="M9" i="1" l="1"/>
  <c r="E122" i="10"/>
  <c r="F122" i="10" s="1"/>
  <c r="L122" i="10"/>
  <c r="N122" i="10"/>
  <c r="O122" i="10" s="1"/>
  <c r="P122" i="10" s="1"/>
  <c r="T122" i="10"/>
  <c r="S9" i="1"/>
  <c r="K11" i="14" s="1"/>
  <c r="I11" i="14"/>
  <c r="N9" i="1"/>
  <c r="Q89" i="10"/>
  <c r="R89" i="10" s="1"/>
  <c r="S89" i="10" s="1"/>
  <c r="S92" i="7" s="1"/>
  <c r="R92" i="7"/>
  <c r="J94" i="17" s="1"/>
  <c r="Y89" i="10"/>
  <c r="T92" i="7" s="1"/>
  <c r="L94" i="17" s="1"/>
  <c r="U89" i="10"/>
  <c r="O92" i="7" s="1"/>
  <c r="J92" i="7"/>
  <c r="E94" i="17" s="1"/>
  <c r="F94" i="17"/>
  <c r="F93" i="7"/>
  <c r="K94" i="17"/>
  <c r="U122" i="10" l="1"/>
  <c r="O9" i="1" s="1"/>
  <c r="J11" i="14" s="1"/>
  <c r="F10" i="1"/>
  <c r="L10" i="1" s="1"/>
  <c r="H12" i="14" s="1"/>
  <c r="T9" i="1"/>
  <c r="H9" i="1"/>
  <c r="G122" i="10"/>
  <c r="H122" i="10" s="1"/>
  <c r="I122" i="10" s="1"/>
  <c r="I9" i="1" s="1"/>
  <c r="C11" i="14" s="1"/>
  <c r="X122" i="10"/>
  <c r="K9" i="1" s="1"/>
  <c r="G11" i="14" s="1"/>
  <c r="Y122" i="10"/>
  <c r="V9" i="1" s="1"/>
  <c r="L11" i="14" s="1"/>
  <c r="Q122" i="10"/>
  <c r="R122" i="10" s="1"/>
  <c r="S122" i="10" s="1"/>
  <c r="U9" i="1" s="1"/>
  <c r="F122" i="1"/>
  <c r="W9" i="1"/>
  <c r="Z9" i="1"/>
  <c r="D12" i="14"/>
  <c r="B123" i="10"/>
  <c r="E20" i="12"/>
  <c r="D95" i="17"/>
  <c r="B90" i="10"/>
  <c r="L93" i="7"/>
  <c r="M10" i="1"/>
  <c r="I12" i="14" s="1"/>
  <c r="M123" i="10" l="1"/>
  <c r="F11" i="14"/>
  <c r="J9" i="1"/>
  <c r="E11" i="14" s="1"/>
  <c r="N123" i="10"/>
  <c r="O123" i="10" s="1"/>
  <c r="P123" i="10" s="1"/>
  <c r="N10" i="1"/>
  <c r="Z10" i="1" s="1"/>
  <c r="E123" i="10"/>
  <c r="F123" i="10" s="1"/>
  <c r="L123" i="10"/>
  <c r="H95" i="17"/>
  <c r="M90" i="10"/>
  <c r="N90" i="10" s="1"/>
  <c r="L90" i="10"/>
  <c r="E90" i="10"/>
  <c r="F90" i="10" s="1"/>
  <c r="S10" i="1" l="1"/>
  <c r="K12" i="14" s="1"/>
  <c r="T123" i="10"/>
  <c r="U123" i="10" s="1"/>
  <c r="O10" i="1" s="1"/>
  <c r="J12" i="14" s="1"/>
  <c r="W10" i="1"/>
  <c r="G123" i="10"/>
  <c r="H123" i="10" s="1"/>
  <c r="I123" i="10" s="1"/>
  <c r="I10" i="1" s="1"/>
  <c r="H10" i="1"/>
  <c r="X123" i="10"/>
  <c r="K10" i="1" s="1"/>
  <c r="H93" i="7"/>
  <c r="X90" i="10"/>
  <c r="K93" i="7" s="1"/>
  <c r="G95" i="17" s="1"/>
  <c r="G90" i="10"/>
  <c r="H90" i="10" s="1"/>
  <c r="I90" i="10" s="1"/>
  <c r="I93" i="7" s="1"/>
  <c r="C95" i="17" s="1"/>
  <c r="O90" i="10"/>
  <c r="P90" i="10" s="1"/>
  <c r="T90" i="10"/>
  <c r="Q93" i="7"/>
  <c r="F11" i="1" l="1"/>
  <c r="Q123" i="10"/>
  <c r="R123" i="10" s="1"/>
  <c r="S123" i="10" s="1"/>
  <c r="U10" i="1" s="1"/>
  <c r="T10" i="1"/>
  <c r="Y123" i="10"/>
  <c r="V10" i="1" s="1"/>
  <c r="L12" i="14" s="1"/>
  <c r="G12" i="14"/>
  <c r="G20" i="12"/>
  <c r="F12" i="14"/>
  <c r="J10" i="1"/>
  <c r="E12" i="14" s="1"/>
  <c r="F20" i="12"/>
  <c r="H122" i="1"/>
  <c r="C12" i="14"/>
  <c r="D20" i="12"/>
  <c r="I122" i="1"/>
  <c r="R93" i="7"/>
  <c r="J95" i="17" s="1"/>
  <c r="Q90" i="10"/>
  <c r="R90" i="10" s="1"/>
  <c r="S90" i="10" s="1"/>
  <c r="S93" i="7" s="1"/>
  <c r="Y90" i="10"/>
  <c r="T93" i="7" s="1"/>
  <c r="L95" i="17" s="1"/>
  <c r="U90" i="10"/>
  <c r="O93" i="7" s="1"/>
  <c r="F94" i="7"/>
  <c r="K95" i="17"/>
  <c r="J93" i="7"/>
  <c r="E95" i="17" s="1"/>
  <c r="F95" i="17"/>
  <c r="D13" i="14" l="1"/>
  <c r="B124" i="10"/>
  <c r="L11" i="1"/>
  <c r="D96" i="17"/>
  <c r="L94" i="7"/>
  <c r="B91" i="10"/>
  <c r="H13" i="14" l="1"/>
  <c r="M11" i="1"/>
  <c r="M124" i="10"/>
  <c r="N124" i="10" s="1"/>
  <c r="L124" i="10"/>
  <c r="E124" i="10"/>
  <c r="F124" i="10" s="1"/>
  <c r="H96" i="17"/>
  <c r="M91" i="10"/>
  <c r="N91" i="10" s="1"/>
  <c r="L91" i="10"/>
  <c r="E91" i="10"/>
  <c r="F91" i="10" s="1"/>
  <c r="G124" i="10" l="1"/>
  <c r="H124" i="10" s="1"/>
  <c r="I124" i="10" s="1"/>
  <c r="I11" i="1" s="1"/>
  <c r="C13" i="14" s="1"/>
  <c r="H11" i="1"/>
  <c r="X124" i="10"/>
  <c r="K11" i="1" s="1"/>
  <c r="G13" i="14" s="1"/>
  <c r="I13" i="14"/>
  <c r="N11" i="1"/>
  <c r="O124" i="10"/>
  <c r="P124" i="10" s="1"/>
  <c r="T124" i="10"/>
  <c r="S11" i="1"/>
  <c r="X91" i="10"/>
  <c r="K94" i="7" s="1"/>
  <c r="G96" i="17" s="1"/>
  <c r="H94" i="7"/>
  <c r="G91" i="10"/>
  <c r="H91" i="10" s="1"/>
  <c r="I91" i="10" s="1"/>
  <c r="I94" i="7" s="1"/>
  <c r="C96" i="17" s="1"/>
  <c r="O91" i="10"/>
  <c r="P91" i="10" s="1"/>
  <c r="Q94" i="7"/>
  <c r="T91" i="10"/>
  <c r="U91" i="10" s="1"/>
  <c r="O94" i="7" s="1"/>
  <c r="F12" i="1" l="1"/>
  <c r="K13" i="14"/>
  <c r="U124" i="10"/>
  <c r="O11" i="1" s="1"/>
  <c r="J13" i="14" s="1"/>
  <c r="Y124" i="10"/>
  <c r="V11" i="1" s="1"/>
  <c r="L13" i="14" s="1"/>
  <c r="T11" i="1"/>
  <c r="Q124" i="10"/>
  <c r="R124" i="10" s="1"/>
  <c r="S124" i="10" s="1"/>
  <c r="U11" i="1" s="1"/>
  <c r="Z11" i="1"/>
  <c r="W11" i="1"/>
  <c r="X11" i="1" s="1"/>
  <c r="J11" i="1"/>
  <c r="E13" i="14" s="1"/>
  <c r="F13" i="14"/>
  <c r="J94" i="7"/>
  <c r="E96" i="17" s="1"/>
  <c r="F96" i="17"/>
  <c r="R94" i="7"/>
  <c r="J96" i="17" s="1"/>
  <c r="Q91" i="10"/>
  <c r="R91" i="10" s="1"/>
  <c r="S91" i="10" s="1"/>
  <c r="S94" i="7" s="1"/>
  <c r="Y91" i="10"/>
  <c r="T94" i="7" s="1"/>
  <c r="L96" i="17" s="1"/>
  <c r="F95" i="7"/>
  <c r="K96" i="17"/>
  <c r="E37" i="18" l="1"/>
  <c r="D14" i="14"/>
  <c r="L12" i="1"/>
  <c r="B125" i="10"/>
  <c r="D97" i="17"/>
  <c r="L95" i="7"/>
  <c r="B92" i="10"/>
  <c r="F139" i="7"/>
  <c r="H14" i="14" l="1"/>
  <c r="M12" i="1"/>
  <c r="M125" i="10"/>
  <c r="N125" i="10" s="1"/>
  <c r="E125" i="10"/>
  <c r="F125" i="10" s="1"/>
  <c r="L125" i="10"/>
  <c r="E92" i="10"/>
  <c r="F92" i="10" s="1"/>
  <c r="L92" i="10"/>
  <c r="H97" i="17"/>
  <c r="M92" i="10"/>
  <c r="N92" i="10" s="1"/>
  <c r="X125" i="10" l="1"/>
  <c r="K12" i="1" s="1"/>
  <c r="G14" i="14" s="1"/>
  <c r="H12" i="1"/>
  <c r="G125" i="10"/>
  <c r="H125" i="10" s="1"/>
  <c r="I125" i="10" s="1"/>
  <c r="I12" i="1" s="1"/>
  <c r="C14" i="14" s="1"/>
  <c r="I14" i="14"/>
  <c r="N12" i="1"/>
  <c r="S12" i="1"/>
  <c r="T125" i="10"/>
  <c r="O125" i="10"/>
  <c r="P125" i="10" s="1"/>
  <c r="G92" i="10"/>
  <c r="H92" i="10" s="1"/>
  <c r="I92" i="10" s="1"/>
  <c r="I95" i="7" s="1"/>
  <c r="X92" i="10"/>
  <c r="K95" i="7" s="1"/>
  <c r="H95" i="7"/>
  <c r="Q95" i="7"/>
  <c r="T92" i="10"/>
  <c r="O92" i="10"/>
  <c r="P92" i="10" s="1"/>
  <c r="K97" i="17" l="1"/>
  <c r="F96" i="7"/>
  <c r="F37" i="18"/>
  <c r="G37" i="18"/>
  <c r="D37" i="18"/>
  <c r="Z12" i="1"/>
  <c r="W12" i="1"/>
  <c r="U125" i="10"/>
  <c r="O12" i="1" s="1"/>
  <c r="J14" i="14" s="1"/>
  <c r="Q125" i="10"/>
  <c r="R125" i="10" s="1"/>
  <c r="S125" i="10" s="1"/>
  <c r="U12" i="1" s="1"/>
  <c r="Y125" i="10"/>
  <c r="V12" i="1" s="1"/>
  <c r="L14" i="14" s="1"/>
  <c r="T12" i="1"/>
  <c r="J12" i="1"/>
  <c r="E14" i="14" s="1"/>
  <c r="F14" i="14"/>
  <c r="F13" i="1"/>
  <c r="K14" i="14"/>
  <c r="Q92" i="10"/>
  <c r="R92" i="10" s="1"/>
  <c r="S92" i="10" s="1"/>
  <c r="S95" i="7" s="1"/>
  <c r="R95" i="7"/>
  <c r="J97" i="17" s="1"/>
  <c r="Y92" i="10"/>
  <c r="T95" i="7" s="1"/>
  <c r="L97" i="17" s="1"/>
  <c r="F97" i="17"/>
  <c r="H139" i="7"/>
  <c r="J95" i="7"/>
  <c r="E97" i="17" s="1"/>
  <c r="G97" i="17"/>
  <c r="U92" i="10"/>
  <c r="O95" i="7" s="1"/>
  <c r="C97" i="17"/>
  <c r="I139" i="7"/>
  <c r="D98" i="17" l="1"/>
  <c r="B93" i="10"/>
  <c r="L96" i="7"/>
  <c r="D15" i="14"/>
  <c r="L13" i="1"/>
  <c r="B126" i="10"/>
  <c r="M93" i="10" l="1"/>
  <c r="N93" i="10" s="1"/>
  <c r="H98" i="17"/>
  <c r="E93" i="10"/>
  <c r="F93" i="10" s="1"/>
  <c r="L93" i="10"/>
  <c r="E126" i="10"/>
  <c r="F126" i="10" s="1"/>
  <c r="L126" i="10"/>
  <c r="H15" i="14"/>
  <c r="M126" i="10"/>
  <c r="N126" i="10" s="1"/>
  <c r="M13" i="1"/>
  <c r="X93" i="10" l="1"/>
  <c r="K96" i="7" s="1"/>
  <c r="G98" i="17" s="1"/>
  <c r="H96" i="7"/>
  <c r="G93" i="10"/>
  <c r="H93" i="10" s="1"/>
  <c r="I93" i="10" s="1"/>
  <c r="I96" i="7" s="1"/>
  <c r="C98" i="17" s="1"/>
  <c r="O93" i="10"/>
  <c r="P93" i="10" s="1"/>
  <c r="Q96" i="7"/>
  <c r="T93" i="10"/>
  <c r="U93" i="10" s="1"/>
  <c r="O96" i="7" s="1"/>
  <c r="N13" i="1"/>
  <c r="I15" i="14"/>
  <c r="X126" i="10"/>
  <c r="K13" i="1" s="1"/>
  <c r="G15" i="14" s="1"/>
  <c r="G126" i="10"/>
  <c r="H126" i="10" s="1"/>
  <c r="I126" i="10" s="1"/>
  <c r="I13" i="1" s="1"/>
  <c r="C15" i="14" s="1"/>
  <c r="H13" i="1"/>
  <c r="S13" i="1"/>
  <c r="T126" i="10"/>
  <c r="U126" i="10" s="1"/>
  <c r="O13" i="1" s="1"/>
  <c r="J15" i="14" s="1"/>
  <c r="O126" i="10"/>
  <c r="P126" i="10" s="1"/>
  <c r="R96" i="7" l="1"/>
  <c r="J98" i="17" s="1"/>
  <c r="Q93" i="10"/>
  <c r="R93" i="10" s="1"/>
  <c r="S93" i="10" s="1"/>
  <c r="S96" i="7" s="1"/>
  <c r="Y93" i="10"/>
  <c r="T96" i="7" s="1"/>
  <c r="L98" i="17" s="1"/>
  <c r="K98" i="17"/>
  <c r="F97" i="7"/>
  <c r="J96" i="7"/>
  <c r="E98" i="17" s="1"/>
  <c r="F98" i="17"/>
  <c r="F14" i="1"/>
  <c r="K15" i="14"/>
  <c r="J13" i="1"/>
  <c r="E15" i="14" s="1"/>
  <c r="F15" i="14"/>
  <c r="T13" i="1"/>
  <c r="Q126" i="10"/>
  <c r="R126" i="10" s="1"/>
  <c r="S126" i="10" s="1"/>
  <c r="U13" i="1" s="1"/>
  <c r="Y126" i="10"/>
  <c r="V13" i="1" s="1"/>
  <c r="L15" i="14" s="1"/>
  <c r="W13" i="1"/>
  <c r="Z13" i="1"/>
  <c r="D99" i="17" l="1"/>
  <c r="L97" i="7"/>
  <c r="B94" i="10"/>
  <c r="D16" i="14"/>
  <c r="B127" i="10"/>
  <c r="L14" i="1"/>
  <c r="E94" i="10" l="1"/>
  <c r="F94" i="10" s="1"/>
  <c r="L94" i="10"/>
  <c r="M94" i="10"/>
  <c r="N94" i="10" s="1"/>
  <c r="H99" i="17"/>
  <c r="H16" i="14"/>
  <c r="M127" i="10"/>
  <c r="N127" i="10" s="1"/>
  <c r="M14" i="1"/>
  <c r="E127" i="10"/>
  <c r="F127" i="10" s="1"/>
  <c r="L127" i="10"/>
  <c r="O94" i="10" l="1"/>
  <c r="P94" i="10" s="1"/>
  <c r="Q97" i="7"/>
  <c r="T94" i="10"/>
  <c r="H97" i="7"/>
  <c r="G94" i="10"/>
  <c r="H94" i="10" s="1"/>
  <c r="I94" i="10" s="1"/>
  <c r="I97" i="7" s="1"/>
  <c r="C99" i="17" s="1"/>
  <c r="X94" i="10"/>
  <c r="K97" i="7" s="1"/>
  <c r="G99" i="17" s="1"/>
  <c r="U94" i="10"/>
  <c r="O97" i="7" s="1"/>
  <c r="X127" i="10"/>
  <c r="K14" i="1" s="1"/>
  <c r="G16" i="14" s="1"/>
  <c r="H14" i="1"/>
  <c r="G127" i="10"/>
  <c r="H127" i="10" s="1"/>
  <c r="I127" i="10" s="1"/>
  <c r="I14" i="1" s="1"/>
  <c r="C16" i="14" s="1"/>
  <c r="O127" i="10"/>
  <c r="P127" i="10" s="1"/>
  <c r="S14" i="1"/>
  <c r="T127" i="10"/>
  <c r="I16" i="14"/>
  <c r="N14" i="1"/>
  <c r="R97" i="7" l="1"/>
  <c r="J99" i="17" s="1"/>
  <c r="Y94" i="10"/>
  <c r="T97" i="7" s="1"/>
  <c r="L99" i="17" s="1"/>
  <c r="Q94" i="10"/>
  <c r="R94" i="10" s="1"/>
  <c r="S94" i="10" s="1"/>
  <c r="S97" i="7" s="1"/>
  <c r="F99" i="17"/>
  <c r="J97" i="7"/>
  <c r="E99" i="17" s="1"/>
  <c r="K99" i="17"/>
  <c r="F98" i="7"/>
  <c r="U127" i="10"/>
  <c r="O14" i="1" s="1"/>
  <c r="J16" i="14" s="1"/>
  <c r="Y127" i="10"/>
  <c r="V14" i="1" s="1"/>
  <c r="L16" i="14" s="1"/>
  <c r="Q127" i="10"/>
  <c r="R127" i="10" s="1"/>
  <c r="S127" i="10" s="1"/>
  <c r="U14" i="1" s="1"/>
  <c r="T14" i="1"/>
  <c r="F15" i="1"/>
  <c r="K16" i="14"/>
  <c r="Z14" i="1"/>
  <c r="W14" i="1"/>
  <c r="J14" i="1"/>
  <c r="E16" i="14" s="1"/>
  <c r="F16" i="14"/>
  <c r="D100" i="17" l="1"/>
  <c r="B95" i="10"/>
  <c r="L98" i="7"/>
  <c r="F123" i="1"/>
  <c r="E21" i="12"/>
  <c r="B128" i="10"/>
  <c r="D17" i="14"/>
  <c r="L15" i="1"/>
  <c r="M95" i="10" l="1"/>
  <c r="N95" i="10" s="1"/>
  <c r="H100" i="17"/>
  <c r="L95" i="10"/>
  <c r="E95" i="10"/>
  <c r="F95" i="10" s="1"/>
  <c r="H17" i="14"/>
  <c r="M15" i="1"/>
  <c r="M128" i="10"/>
  <c r="N128" i="10" s="1"/>
  <c r="L128" i="10"/>
  <c r="E128" i="10"/>
  <c r="F128" i="10" s="1"/>
  <c r="G95" i="10" l="1"/>
  <c r="H95" i="10" s="1"/>
  <c r="I95" i="10" s="1"/>
  <c r="I98" i="7" s="1"/>
  <c r="C100" i="17" s="1"/>
  <c r="X95" i="10"/>
  <c r="K98" i="7" s="1"/>
  <c r="G100" i="17" s="1"/>
  <c r="H98" i="7"/>
  <c r="T95" i="10"/>
  <c r="Q98" i="7"/>
  <c r="O95" i="10"/>
  <c r="P95" i="10" s="1"/>
  <c r="X128" i="10"/>
  <c r="K15" i="1" s="1"/>
  <c r="G128" i="10"/>
  <c r="H128" i="10" s="1"/>
  <c r="I128" i="10" s="1"/>
  <c r="I15" i="1" s="1"/>
  <c r="H15" i="1"/>
  <c r="O128" i="10"/>
  <c r="P128" i="10" s="1"/>
  <c r="S15" i="1"/>
  <c r="T128" i="10"/>
  <c r="I17" i="14"/>
  <c r="N15" i="1"/>
  <c r="Q95" i="10" l="1"/>
  <c r="R95" i="10" s="1"/>
  <c r="S95" i="10" s="1"/>
  <c r="S98" i="7" s="1"/>
  <c r="K100" i="17"/>
  <c r="F99" i="7"/>
  <c r="R98" i="7"/>
  <c r="J100" i="17" s="1"/>
  <c r="Y95" i="10"/>
  <c r="T98" i="7" s="1"/>
  <c r="L100" i="17" s="1"/>
  <c r="U95" i="10"/>
  <c r="O98" i="7" s="1"/>
  <c r="J98" i="7"/>
  <c r="E100" i="17" s="1"/>
  <c r="F100" i="17"/>
  <c r="U128" i="10"/>
  <c r="O15" i="1" s="1"/>
  <c r="J17" i="14" s="1"/>
  <c r="T15" i="1"/>
  <c r="Y128" i="10"/>
  <c r="V15" i="1" s="1"/>
  <c r="L17" i="14" s="1"/>
  <c r="Q128" i="10"/>
  <c r="R128" i="10" s="1"/>
  <c r="S128" i="10" s="1"/>
  <c r="U15" i="1" s="1"/>
  <c r="F16" i="1"/>
  <c r="K17" i="14"/>
  <c r="I123" i="1"/>
  <c r="C17" i="14"/>
  <c r="D21" i="12"/>
  <c r="W15" i="1"/>
  <c r="Z15" i="1"/>
  <c r="H123" i="1"/>
  <c r="F21" i="12"/>
  <c r="F17" i="14"/>
  <c r="J15" i="1"/>
  <c r="E17" i="14" s="1"/>
  <c r="G17" i="14"/>
  <c r="G21" i="12"/>
  <c r="D101" i="17" l="1"/>
  <c r="B96" i="10"/>
  <c r="L99" i="7"/>
  <c r="D18" i="14"/>
  <c r="L16" i="1"/>
  <c r="B129" i="10"/>
  <c r="M96" i="10" l="1"/>
  <c r="N96" i="10" s="1"/>
  <c r="H101" i="17"/>
  <c r="L96" i="10"/>
  <c r="E96" i="10"/>
  <c r="F96" i="10" s="1"/>
  <c r="H18" i="14"/>
  <c r="M16" i="1"/>
  <c r="M129" i="10"/>
  <c r="N129" i="10" s="1"/>
  <c r="E129" i="10"/>
  <c r="F129" i="10" s="1"/>
  <c r="L129" i="10"/>
  <c r="G96" i="10" l="1"/>
  <c r="H96" i="10" s="1"/>
  <c r="I96" i="10" s="1"/>
  <c r="I99" i="7" s="1"/>
  <c r="C101" i="17" s="1"/>
  <c r="H99" i="7"/>
  <c r="X96" i="10"/>
  <c r="K99" i="7" s="1"/>
  <c r="G101" i="17" s="1"/>
  <c r="Q99" i="7"/>
  <c r="O96" i="10"/>
  <c r="P96" i="10" s="1"/>
  <c r="T96" i="10"/>
  <c r="H16" i="1"/>
  <c r="X129" i="10"/>
  <c r="K16" i="1" s="1"/>
  <c r="G18" i="14" s="1"/>
  <c r="G129" i="10"/>
  <c r="H129" i="10" s="1"/>
  <c r="I129" i="10" s="1"/>
  <c r="I16" i="1" s="1"/>
  <c r="C18" i="14" s="1"/>
  <c r="O129" i="10"/>
  <c r="P129" i="10" s="1"/>
  <c r="S16" i="1"/>
  <c r="T129" i="10"/>
  <c r="I18" i="14"/>
  <c r="N16" i="1"/>
  <c r="Y96" i="10" l="1"/>
  <c r="T99" i="7" s="1"/>
  <c r="L101" i="17" s="1"/>
  <c r="R99" i="7"/>
  <c r="J101" i="17" s="1"/>
  <c r="Q96" i="10"/>
  <c r="R96" i="10" s="1"/>
  <c r="S96" i="10" s="1"/>
  <c r="S99" i="7" s="1"/>
  <c r="K101" i="17"/>
  <c r="F100" i="7"/>
  <c r="U96" i="10"/>
  <c r="O99" i="7" s="1"/>
  <c r="J99" i="7"/>
  <c r="E101" i="17" s="1"/>
  <c r="F101" i="17"/>
  <c r="Z16" i="1"/>
  <c r="W16" i="1"/>
  <c r="U129" i="10"/>
  <c r="O16" i="1" s="1"/>
  <c r="J18" i="14" s="1"/>
  <c r="Y129" i="10"/>
  <c r="V16" i="1" s="1"/>
  <c r="L18" i="14" s="1"/>
  <c r="Q129" i="10"/>
  <c r="R129" i="10" s="1"/>
  <c r="S129" i="10" s="1"/>
  <c r="U16" i="1" s="1"/>
  <c r="T16" i="1"/>
  <c r="F17" i="1"/>
  <c r="K18" i="14"/>
  <c r="J16" i="1"/>
  <c r="E18" i="14" s="1"/>
  <c r="F18" i="14"/>
  <c r="D102" i="17" l="1"/>
  <c r="E38" i="18"/>
  <c r="F140" i="7"/>
  <c r="L100" i="7"/>
  <c r="B97" i="10"/>
  <c r="L17" i="1"/>
  <c r="D19" i="14"/>
  <c r="B130" i="10"/>
  <c r="E97" i="10" l="1"/>
  <c r="F97" i="10" s="1"/>
  <c r="L97" i="10"/>
  <c r="M97" i="10"/>
  <c r="N97" i="10" s="1"/>
  <c r="H102" i="17"/>
  <c r="L130" i="10"/>
  <c r="E130" i="10"/>
  <c r="F130" i="10" s="1"/>
  <c r="H19" i="14"/>
  <c r="M17" i="1"/>
  <c r="M130" i="10"/>
  <c r="N130" i="10" s="1"/>
  <c r="O97" i="10" l="1"/>
  <c r="P97" i="10" s="1"/>
  <c r="T97" i="10"/>
  <c r="Q100" i="7"/>
  <c r="X97" i="10"/>
  <c r="K100" i="7" s="1"/>
  <c r="H100" i="7"/>
  <c r="G97" i="10"/>
  <c r="H97" i="10" s="1"/>
  <c r="I97" i="10" s="1"/>
  <c r="I100" i="7" s="1"/>
  <c r="O130" i="10"/>
  <c r="P130" i="10" s="1"/>
  <c r="T130" i="10"/>
  <c r="S17" i="1"/>
  <c r="N17" i="1"/>
  <c r="I19" i="14"/>
  <c r="H17" i="1"/>
  <c r="X130" i="10"/>
  <c r="K17" i="1" s="1"/>
  <c r="G19" i="14" s="1"/>
  <c r="G130" i="10"/>
  <c r="H130" i="10" s="1"/>
  <c r="I130" i="10" s="1"/>
  <c r="I17" i="1" s="1"/>
  <c r="C19" i="14" s="1"/>
  <c r="D38" i="18" l="1"/>
  <c r="I140" i="7"/>
  <c r="C102" i="17"/>
  <c r="F102" i="17"/>
  <c r="F38" i="18"/>
  <c r="H140" i="7"/>
  <c r="J100" i="7"/>
  <c r="E102" i="17" s="1"/>
  <c r="G102" i="17"/>
  <c r="G38" i="18"/>
  <c r="K102" i="17"/>
  <c r="F101" i="7"/>
  <c r="U97" i="10"/>
  <c r="O100" i="7" s="1"/>
  <c r="Y97" i="10"/>
  <c r="T100" i="7" s="1"/>
  <c r="L102" i="17" s="1"/>
  <c r="Q97" i="10"/>
  <c r="R97" i="10" s="1"/>
  <c r="S97" i="10" s="1"/>
  <c r="S100" i="7" s="1"/>
  <c r="R100" i="7"/>
  <c r="J102" i="17" s="1"/>
  <c r="F19" i="14"/>
  <c r="J17" i="1"/>
  <c r="E19" i="14" s="1"/>
  <c r="Y130" i="10"/>
  <c r="V17" i="1" s="1"/>
  <c r="L19" i="14" s="1"/>
  <c r="Q130" i="10"/>
  <c r="R130" i="10" s="1"/>
  <c r="S130" i="10" s="1"/>
  <c r="U17" i="1" s="1"/>
  <c r="T17" i="1"/>
  <c r="W17" i="1"/>
  <c r="Z17" i="1"/>
  <c r="F18" i="1"/>
  <c r="K19" i="14"/>
  <c r="U130" i="10"/>
  <c r="O17" i="1" s="1"/>
  <c r="J19" i="14" s="1"/>
  <c r="D103" i="17" l="1"/>
  <c r="B98" i="10"/>
  <c r="L101" i="7"/>
  <c r="D20" i="14"/>
  <c r="B131" i="10"/>
  <c r="L18" i="1"/>
  <c r="M98" i="10" l="1"/>
  <c r="N98" i="10" s="1"/>
  <c r="H103" i="17"/>
  <c r="E98" i="10"/>
  <c r="F98" i="10" s="1"/>
  <c r="L98" i="10"/>
  <c r="L131" i="10"/>
  <c r="E131" i="10"/>
  <c r="F131" i="10" s="1"/>
  <c r="H20" i="14"/>
  <c r="M18" i="1"/>
  <c r="M131" i="10"/>
  <c r="N131" i="10" s="1"/>
  <c r="H101" i="7" l="1"/>
  <c r="G98" i="10"/>
  <c r="H98" i="10" s="1"/>
  <c r="I98" i="10" s="1"/>
  <c r="I101" i="7" s="1"/>
  <c r="C103" i="17" s="1"/>
  <c r="X98" i="10"/>
  <c r="K101" i="7" s="1"/>
  <c r="G103" i="17" s="1"/>
  <c r="O98" i="10"/>
  <c r="P98" i="10" s="1"/>
  <c r="T98" i="10"/>
  <c r="Q101" i="7"/>
  <c r="G131" i="10"/>
  <c r="H131" i="10" s="1"/>
  <c r="I131" i="10" s="1"/>
  <c r="I18" i="1" s="1"/>
  <c r="C20" i="14" s="1"/>
  <c r="T131" i="10"/>
  <c r="S18" i="1"/>
  <c r="O131" i="10"/>
  <c r="P131" i="10" s="1"/>
  <c r="N18" i="1"/>
  <c r="I20" i="14"/>
  <c r="H18" i="1"/>
  <c r="X131" i="10"/>
  <c r="K18" i="1" s="1"/>
  <c r="G20" i="14" s="1"/>
  <c r="K103" i="17" l="1"/>
  <c r="F102" i="7"/>
  <c r="Y98" i="10"/>
  <c r="T101" i="7" s="1"/>
  <c r="L103" i="17" s="1"/>
  <c r="Q98" i="10"/>
  <c r="R98" i="10" s="1"/>
  <c r="S98" i="10" s="1"/>
  <c r="S101" i="7" s="1"/>
  <c r="R101" i="7"/>
  <c r="J103" i="17" s="1"/>
  <c r="U98" i="10"/>
  <c r="O101" i="7" s="1"/>
  <c r="J101" i="7"/>
  <c r="E103" i="17" s="1"/>
  <c r="F103" i="17"/>
  <c r="Z18" i="1"/>
  <c r="W18" i="1"/>
  <c r="K20" i="14"/>
  <c r="F19" i="1"/>
  <c r="J18" i="1"/>
  <c r="E20" i="14" s="1"/>
  <c r="F20" i="14"/>
  <c r="U131" i="10"/>
  <c r="O18" i="1" s="1"/>
  <c r="J20" i="14" s="1"/>
  <c r="Y131" i="10"/>
  <c r="V18" i="1" s="1"/>
  <c r="L20" i="14" s="1"/>
  <c r="T18" i="1"/>
  <c r="Q131" i="10"/>
  <c r="R131" i="10" s="1"/>
  <c r="S131" i="10" s="1"/>
  <c r="U18" i="1" s="1"/>
  <c r="D104" i="17" l="1"/>
  <c r="B99" i="10"/>
  <c r="L102" i="7"/>
  <c r="D21" i="14"/>
  <c r="B132" i="10"/>
  <c r="L19" i="1"/>
  <c r="M99" i="10" l="1"/>
  <c r="N99" i="10" s="1"/>
  <c r="H104" i="17"/>
  <c r="L99" i="10"/>
  <c r="E99" i="10"/>
  <c r="F99" i="10" s="1"/>
  <c r="E132" i="10"/>
  <c r="F132" i="10" s="1"/>
  <c r="L132" i="10"/>
  <c r="H21" i="14"/>
  <c r="M19" i="1"/>
  <c r="M132" i="10"/>
  <c r="N132" i="10" s="1"/>
  <c r="G99" i="10" l="1"/>
  <c r="H99" i="10" s="1"/>
  <c r="I99" i="10" s="1"/>
  <c r="I102" i="7" s="1"/>
  <c r="C104" i="17" s="1"/>
  <c r="X99" i="10"/>
  <c r="K102" i="7" s="1"/>
  <c r="G104" i="17" s="1"/>
  <c r="H102" i="7"/>
  <c r="Q102" i="7"/>
  <c r="O99" i="10"/>
  <c r="P99" i="10" s="1"/>
  <c r="T99" i="10"/>
  <c r="U99" i="10" s="1"/>
  <c r="O102" i="7" s="1"/>
  <c r="H19" i="1"/>
  <c r="X132" i="10"/>
  <c r="K19" i="1" s="1"/>
  <c r="G21" i="14" s="1"/>
  <c r="G132" i="10"/>
  <c r="H132" i="10" s="1"/>
  <c r="I132" i="10" s="1"/>
  <c r="I19" i="1" s="1"/>
  <c r="C21" i="14" s="1"/>
  <c r="S19" i="1"/>
  <c r="O132" i="10"/>
  <c r="P132" i="10" s="1"/>
  <c r="T132" i="10"/>
  <c r="N19" i="1"/>
  <c r="I21" i="14"/>
  <c r="R102" i="7" l="1"/>
  <c r="J104" i="17" s="1"/>
  <c r="Y99" i="10"/>
  <c r="T102" i="7" s="1"/>
  <c r="L104" i="17" s="1"/>
  <c r="Q99" i="10"/>
  <c r="R99" i="10" s="1"/>
  <c r="S99" i="10" s="1"/>
  <c r="S102" i="7" s="1"/>
  <c r="F103" i="7"/>
  <c r="K104" i="17"/>
  <c r="F104" i="17"/>
  <c r="J102" i="7"/>
  <c r="E104" i="17" s="1"/>
  <c r="T19" i="1"/>
  <c r="Y132" i="10"/>
  <c r="V19" i="1" s="1"/>
  <c r="L21" i="14" s="1"/>
  <c r="Q132" i="10"/>
  <c r="R132" i="10" s="1"/>
  <c r="S132" i="10" s="1"/>
  <c r="U19" i="1" s="1"/>
  <c r="U132" i="10"/>
  <c r="O19" i="1" s="1"/>
  <c r="J21" i="14" s="1"/>
  <c r="Z19" i="1"/>
  <c r="W19" i="1"/>
  <c r="K21" i="14"/>
  <c r="F20" i="1"/>
  <c r="J19" i="1"/>
  <c r="E21" i="14" s="1"/>
  <c r="F21" i="14"/>
  <c r="D105" i="17" l="1"/>
  <c r="B100" i="10"/>
  <c r="L103" i="7"/>
  <c r="D22" i="14"/>
  <c r="F124" i="1"/>
  <c r="E22" i="12"/>
  <c r="L20" i="1"/>
  <c r="B133" i="10"/>
  <c r="M100" i="10" l="1"/>
  <c r="N100" i="10" s="1"/>
  <c r="H105" i="17"/>
  <c r="L100" i="10"/>
  <c r="E100" i="10"/>
  <c r="F100" i="10" s="1"/>
  <c r="H22" i="14"/>
  <c r="M133" i="10"/>
  <c r="N133" i="10" s="1"/>
  <c r="M20" i="1"/>
  <c r="E133" i="10"/>
  <c r="F133" i="10" s="1"/>
  <c r="L133" i="10"/>
  <c r="X100" i="10" l="1"/>
  <c r="K103" i="7" s="1"/>
  <c r="G105" i="17" s="1"/>
  <c r="H103" i="7"/>
  <c r="G100" i="10"/>
  <c r="H100" i="10" s="1"/>
  <c r="I100" i="10" s="1"/>
  <c r="I103" i="7" s="1"/>
  <c r="C105" i="17" s="1"/>
  <c r="O100" i="10"/>
  <c r="P100" i="10" s="1"/>
  <c r="T100" i="10"/>
  <c r="Q103" i="7"/>
  <c r="O133" i="10"/>
  <c r="P133" i="10" s="1"/>
  <c r="T133" i="10"/>
  <c r="S20" i="1"/>
  <c r="H20" i="1"/>
  <c r="X133" i="10"/>
  <c r="K20" i="1" s="1"/>
  <c r="G133" i="10"/>
  <c r="H133" i="10" s="1"/>
  <c r="I133" i="10" s="1"/>
  <c r="I20" i="1" s="1"/>
  <c r="I22" i="14"/>
  <c r="N20" i="1"/>
  <c r="K105" i="17" l="1"/>
  <c r="F104" i="7"/>
  <c r="R103" i="7"/>
  <c r="J105" i="17" s="1"/>
  <c r="Q100" i="10"/>
  <c r="R100" i="10" s="1"/>
  <c r="S100" i="10" s="1"/>
  <c r="S103" i="7" s="1"/>
  <c r="Y100" i="10"/>
  <c r="T103" i="7" s="1"/>
  <c r="L105" i="17" s="1"/>
  <c r="U100" i="10"/>
  <c r="O103" i="7" s="1"/>
  <c r="J103" i="7"/>
  <c r="E105" i="17" s="1"/>
  <c r="F105" i="17"/>
  <c r="Z20" i="1"/>
  <c r="W20" i="1"/>
  <c r="G22" i="14"/>
  <c r="G22" i="12"/>
  <c r="U133" i="10"/>
  <c r="O20" i="1" s="1"/>
  <c r="J22" i="14" s="1"/>
  <c r="T20" i="1"/>
  <c r="Q133" i="10"/>
  <c r="R133" i="10" s="1"/>
  <c r="S133" i="10" s="1"/>
  <c r="U20" i="1" s="1"/>
  <c r="Y133" i="10"/>
  <c r="V20" i="1" s="1"/>
  <c r="L22" i="14" s="1"/>
  <c r="C22" i="14"/>
  <c r="D22" i="12"/>
  <c r="I124" i="1"/>
  <c r="F22" i="14"/>
  <c r="H124" i="1"/>
  <c r="F22" i="12"/>
  <c r="J20" i="1"/>
  <c r="E22" i="14" s="1"/>
  <c r="F21" i="1"/>
  <c r="K22" i="14"/>
  <c r="D106" i="17" l="1"/>
  <c r="B101" i="10"/>
  <c r="L104" i="7"/>
  <c r="D23" i="14"/>
  <c r="L21" i="1"/>
  <c r="B134" i="10"/>
  <c r="M101" i="10" l="1"/>
  <c r="N101" i="10" s="1"/>
  <c r="H106" i="17"/>
  <c r="E101" i="10"/>
  <c r="F101" i="10" s="1"/>
  <c r="L101" i="10"/>
  <c r="H23" i="14"/>
  <c r="M134" i="10"/>
  <c r="N134" i="10" s="1"/>
  <c r="M21" i="1"/>
  <c r="E134" i="10"/>
  <c r="F134" i="10" s="1"/>
  <c r="L134" i="10"/>
  <c r="T101" i="10" l="1"/>
  <c r="U101" i="10" s="1"/>
  <c r="O104" i="7" s="1"/>
  <c r="Q104" i="7"/>
  <c r="O101" i="10"/>
  <c r="P101" i="10" s="1"/>
  <c r="H104" i="7"/>
  <c r="G101" i="10"/>
  <c r="H101" i="10" s="1"/>
  <c r="I101" i="10" s="1"/>
  <c r="I104" i="7" s="1"/>
  <c r="C106" i="17" s="1"/>
  <c r="X101" i="10"/>
  <c r="K104" i="7" s="1"/>
  <c r="G106" i="17" s="1"/>
  <c r="H21" i="1"/>
  <c r="G134" i="10"/>
  <c r="H134" i="10" s="1"/>
  <c r="I134" i="10" s="1"/>
  <c r="I21" i="1" s="1"/>
  <c r="C23" i="14" s="1"/>
  <c r="X134" i="10"/>
  <c r="K21" i="1" s="1"/>
  <c r="G23" i="14" s="1"/>
  <c r="I23" i="14"/>
  <c r="N21" i="1"/>
  <c r="O134" i="10"/>
  <c r="P134" i="10" s="1"/>
  <c r="T134" i="10"/>
  <c r="S21" i="1"/>
  <c r="Q101" i="10" l="1"/>
  <c r="R101" i="10" s="1"/>
  <c r="S101" i="10" s="1"/>
  <c r="S104" i="7" s="1"/>
  <c r="F106" i="17"/>
  <c r="J104" i="7"/>
  <c r="E106" i="17" s="1"/>
  <c r="K106" i="17"/>
  <c r="F105" i="7"/>
  <c r="Y101" i="10"/>
  <c r="T104" i="7" s="1"/>
  <c r="L106" i="17" s="1"/>
  <c r="R104" i="7"/>
  <c r="J106" i="17" s="1"/>
  <c r="F22" i="1"/>
  <c r="K23" i="14"/>
  <c r="U134" i="10"/>
  <c r="O21" i="1" s="1"/>
  <c r="J23" i="14" s="1"/>
  <c r="Q134" i="10"/>
  <c r="R134" i="10" s="1"/>
  <c r="S134" i="10" s="1"/>
  <c r="U21" i="1" s="1"/>
  <c r="T21" i="1"/>
  <c r="Y134" i="10"/>
  <c r="V21" i="1" s="1"/>
  <c r="L23" i="14" s="1"/>
  <c r="W21" i="1"/>
  <c r="Z21" i="1"/>
  <c r="J21" i="1"/>
  <c r="E23" i="14" s="1"/>
  <c r="F23" i="14"/>
  <c r="D107" i="17" l="1"/>
  <c r="E39" i="18"/>
  <c r="F141" i="7"/>
  <c r="L105" i="7"/>
  <c r="B102" i="10"/>
  <c r="D24" i="14"/>
  <c r="L22" i="1"/>
  <c r="B135" i="10"/>
  <c r="E102" i="10" l="1"/>
  <c r="F102" i="10" s="1"/>
  <c r="L102" i="10"/>
  <c r="M102" i="10"/>
  <c r="N102" i="10" s="1"/>
  <c r="H107" i="17"/>
  <c r="H24" i="14"/>
  <c r="M135" i="10"/>
  <c r="N135" i="10" s="1"/>
  <c r="M22" i="1"/>
  <c r="E135" i="10"/>
  <c r="F135" i="10" s="1"/>
  <c r="L135" i="10"/>
  <c r="T102" i="10" l="1"/>
  <c r="U102" i="10" s="1"/>
  <c r="O105" i="7" s="1"/>
  <c r="Q105" i="7"/>
  <c r="O102" i="10"/>
  <c r="P102" i="10" s="1"/>
  <c r="G102" i="10"/>
  <c r="H102" i="10" s="1"/>
  <c r="I102" i="10" s="1"/>
  <c r="I105" i="7" s="1"/>
  <c r="X102" i="10"/>
  <c r="K105" i="7" s="1"/>
  <c r="H105" i="7"/>
  <c r="H22" i="1"/>
  <c r="X135" i="10"/>
  <c r="K22" i="1" s="1"/>
  <c r="G24" i="14" s="1"/>
  <c r="G135" i="10"/>
  <c r="H135" i="10" s="1"/>
  <c r="I135" i="10" s="1"/>
  <c r="I22" i="1" s="1"/>
  <c r="C24" i="14" s="1"/>
  <c r="I24" i="14"/>
  <c r="N22" i="1"/>
  <c r="O135" i="10"/>
  <c r="P135" i="10" s="1"/>
  <c r="S22" i="1"/>
  <c r="T135" i="10"/>
  <c r="F107" i="17" l="1"/>
  <c r="F39" i="18"/>
  <c r="J105" i="7"/>
  <c r="E107" i="17" s="1"/>
  <c r="H141" i="7"/>
  <c r="G107" i="17"/>
  <c r="G39" i="18"/>
  <c r="D39" i="18"/>
  <c r="I141" i="7"/>
  <c r="C107" i="17"/>
  <c r="F106" i="7"/>
  <c r="K107" i="17"/>
  <c r="Q102" i="10"/>
  <c r="R102" i="10" s="1"/>
  <c r="S102" i="10" s="1"/>
  <c r="S105" i="7" s="1"/>
  <c r="R105" i="7"/>
  <c r="J107" i="17" s="1"/>
  <c r="Y102" i="10"/>
  <c r="T105" i="7" s="1"/>
  <c r="L107" i="17" s="1"/>
  <c r="U135" i="10"/>
  <c r="O22" i="1" s="1"/>
  <c r="J24" i="14" s="1"/>
  <c r="Q135" i="10"/>
  <c r="R135" i="10" s="1"/>
  <c r="S135" i="10" s="1"/>
  <c r="U22" i="1" s="1"/>
  <c r="Y135" i="10"/>
  <c r="V22" i="1" s="1"/>
  <c r="L24" i="14" s="1"/>
  <c r="T22" i="1"/>
  <c r="W22" i="1"/>
  <c r="Z22" i="1"/>
  <c r="K24" i="14"/>
  <c r="F23" i="1"/>
  <c r="J22" i="1"/>
  <c r="E24" i="14" s="1"/>
  <c r="F24" i="14"/>
  <c r="D108" i="17" l="1"/>
  <c r="L106" i="7"/>
  <c r="B103" i="10"/>
  <c r="D25" i="14"/>
  <c r="B136" i="10"/>
  <c r="L23" i="1"/>
  <c r="E103" i="10" l="1"/>
  <c r="F103" i="10" s="1"/>
  <c r="L103" i="10"/>
  <c r="M103" i="10"/>
  <c r="N103" i="10" s="1"/>
  <c r="H108" i="17"/>
  <c r="M136" i="10"/>
  <c r="N136" i="10" s="1"/>
  <c r="M23" i="1"/>
  <c r="H25" i="14"/>
  <c r="E136" i="10"/>
  <c r="F136" i="10" s="1"/>
  <c r="L136" i="10"/>
  <c r="O103" i="10" l="1"/>
  <c r="P103" i="10" s="1"/>
  <c r="Q106" i="7"/>
  <c r="T103" i="10"/>
  <c r="X103" i="10"/>
  <c r="K106" i="7" s="1"/>
  <c r="G108" i="17" s="1"/>
  <c r="H106" i="7"/>
  <c r="G103" i="10"/>
  <c r="H103" i="10" s="1"/>
  <c r="I103" i="10" s="1"/>
  <c r="I106" i="7" s="1"/>
  <c r="C108" i="17" s="1"/>
  <c r="U103" i="10"/>
  <c r="O106" i="7" s="1"/>
  <c r="X136" i="10"/>
  <c r="K23" i="1" s="1"/>
  <c r="G25" i="14" s="1"/>
  <c r="H23" i="1"/>
  <c r="G136" i="10"/>
  <c r="H136" i="10" s="1"/>
  <c r="I136" i="10" s="1"/>
  <c r="I23" i="1" s="1"/>
  <c r="C25" i="14" s="1"/>
  <c r="I25" i="14"/>
  <c r="N23" i="1"/>
  <c r="O136" i="10"/>
  <c r="P136" i="10" s="1"/>
  <c r="S23" i="1"/>
  <c r="T136" i="10"/>
  <c r="U136" i="10" s="1"/>
  <c r="O23" i="1" s="1"/>
  <c r="J25" i="14" s="1"/>
  <c r="J106" i="7" l="1"/>
  <c r="E108" i="17" s="1"/>
  <c r="F108" i="17"/>
  <c r="Q103" i="10"/>
  <c r="R103" i="10" s="1"/>
  <c r="S103" i="10" s="1"/>
  <c r="S106" i="7" s="1"/>
  <c r="R106" i="7"/>
  <c r="J108" i="17" s="1"/>
  <c r="Y103" i="10"/>
  <c r="T106" i="7" s="1"/>
  <c r="L108" i="17" s="1"/>
  <c r="K108" i="17"/>
  <c r="F107" i="7"/>
  <c r="F24" i="1"/>
  <c r="K25" i="14"/>
  <c r="F25" i="14"/>
  <c r="J23" i="1"/>
  <c r="E25" i="14" s="1"/>
  <c r="W23" i="1"/>
  <c r="Z23" i="1"/>
  <c r="Q136" i="10"/>
  <c r="R136" i="10" s="1"/>
  <c r="S136" i="10" s="1"/>
  <c r="U23" i="1" s="1"/>
  <c r="Y136" i="10"/>
  <c r="V23" i="1" s="1"/>
  <c r="L25" i="14" s="1"/>
  <c r="T23" i="1"/>
  <c r="D109" i="17" l="1"/>
  <c r="B104" i="10"/>
  <c r="L107" i="7"/>
  <c r="L24" i="1"/>
  <c r="D26" i="14"/>
  <c r="B137" i="10"/>
  <c r="M104" i="10" l="1"/>
  <c r="N104" i="10" s="1"/>
  <c r="H109" i="17"/>
  <c r="L104" i="10"/>
  <c r="E104" i="10"/>
  <c r="F104" i="10" s="1"/>
  <c r="L137" i="10"/>
  <c r="E137" i="10"/>
  <c r="F137" i="10" s="1"/>
  <c r="H26" i="14"/>
  <c r="M137" i="10"/>
  <c r="N137" i="10" s="1"/>
  <c r="M24" i="1"/>
  <c r="G104" i="10" l="1"/>
  <c r="H104" i="10" s="1"/>
  <c r="I104" i="10" s="1"/>
  <c r="I107" i="7" s="1"/>
  <c r="C109" i="17" s="1"/>
  <c r="X104" i="10"/>
  <c r="K107" i="7" s="1"/>
  <c r="G109" i="17" s="1"/>
  <c r="H107" i="7"/>
  <c r="T104" i="10"/>
  <c r="O104" i="10"/>
  <c r="P104" i="10" s="1"/>
  <c r="Q107" i="7"/>
  <c r="N24" i="1"/>
  <c r="I26" i="14"/>
  <c r="O137" i="10"/>
  <c r="P137" i="10" s="1"/>
  <c r="T137" i="10"/>
  <c r="S24" i="1"/>
  <c r="G137" i="10"/>
  <c r="H137" i="10" s="1"/>
  <c r="I137" i="10" s="1"/>
  <c r="I24" i="1" s="1"/>
  <c r="C26" i="14" s="1"/>
  <c r="X137" i="10"/>
  <c r="K24" i="1" s="1"/>
  <c r="G26" i="14" s="1"/>
  <c r="H24" i="1"/>
  <c r="F108" i="7" l="1"/>
  <c r="K109" i="17"/>
  <c r="Q104" i="10"/>
  <c r="R104" i="10" s="1"/>
  <c r="S104" i="10" s="1"/>
  <c r="S107" i="7" s="1"/>
  <c r="R107" i="7"/>
  <c r="J109" i="17" s="1"/>
  <c r="Y104" i="10"/>
  <c r="T107" i="7" s="1"/>
  <c r="L109" i="17" s="1"/>
  <c r="U104" i="10"/>
  <c r="O107" i="7" s="1"/>
  <c r="J107" i="7"/>
  <c r="E109" i="17" s="1"/>
  <c r="F109" i="17"/>
  <c r="F26" i="14"/>
  <c r="J24" i="1"/>
  <c r="E26" i="14" s="1"/>
  <c r="K26" i="14"/>
  <c r="F25" i="1"/>
  <c r="T24" i="1"/>
  <c r="Q137" i="10"/>
  <c r="R137" i="10" s="1"/>
  <c r="S137" i="10" s="1"/>
  <c r="U24" i="1" s="1"/>
  <c r="Y137" i="10"/>
  <c r="V24" i="1" s="1"/>
  <c r="L26" i="14" s="1"/>
  <c r="U137" i="10"/>
  <c r="O24" i="1" s="1"/>
  <c r="J26" i="14" s="1"/>
  <c r="Z24" i="1"/>
  <c r="W24" i="1"/>
  <c r="D110" i="17" l="1"/>
  <c r="B105" i="10"/>
  <c r="L108" i="7"/>
  <c r="F125" i="1"/>
  <c r="B138" i="10"/>
  <c r="L25" i="1"/>
  <c r="D27" i="14"/>
  <c r="E23" i="12"/>
  <c r="M105" i="10" l="1"/>
  <c r="N105" i="10" s="1"/>
  <c r="H110" i="17"/>
  <c r="E105" i="10"/>
  <c r="F105" i="10" s="1"/>
  <c r="L105" i="10"/>
  <c r="H27" i="14"/>
  <c r="M25" i="1"/>
  <c r="M138" i="10"/>
  <c r="N138" i="10" s="1"/>
  <c r="E138" i="10"/>
  <c r="F138" i="10" s="1"/>
  <c r="L138" i="10"/>
  <c r="X105" i="10" l="1"/>
  <c r="K108" i="7" s="1"/>
  <c r="G110" i="17" s="1"/>
  <c r="H108" i="7"/>
  <c r="G105" i="10"/>
  <c r="H105" i="10" s="1"/>
  <c r="I105" i="10" s="1"/>
  <c r="I108" i="7" s="1"/>
  <c r="C110" i="17" s="1"/>
  <c r="O105" i="10"/>
  <c r="P105" i="10" s="1"/>
  <c r="T105" i="10"/>
  <c r="U105" i="10" s="1"/>
  <c r="O108" i="7" s="1"/>
  <c r="Q108" i="7"/>
  <c r="T138" i="10"/>
  <c r="U138" i="10" s="1"/>
  <c r="O25" i="1" s="1"/>
  <c r="J27" i="14" s="1"/>
  <c r="S25" i="1"/>
  <c r="O138" i="10"/>
  <c r="P138" i="10" s="1"/>
  <c r="H25" i="1"/>
  <c r="X138" i="10"/>
  <c r="K25" i="1" s="1"/>
  <c r="G138" i="10"/>
  <c r="H138" i="10" s="1"/>
  <c r="I138" i="10" s="1"/>
  <c r="I25" i="1" s="1"/>
  <c r="N25" i="1"/>
  <c r="I27" i="14"/>
  <c r="R108" i="7" l="1"/>
  <c r="J110" i="17" s="1"/>
  <c r="Q105" i="10"/>
  <c r="R105" i="10" s="1"/>
  <c r="S105" i="10" s="1"/>
  <c r="S108" i="7" s="1"/>
  <c r="Y105" i="10"/>
  <c r="T108" i="7" s="1"/>
  <c r="L110" i="17" s="1"/>
  <c r="J108" i="7"/>
  <c r="E110" i="17" s="1"/>
  <c r="F110" i="17"/>
  <c r="K110" i="17"/>
  <c r="F109" i="7"/>
  <c r="W25" i="1"/>
  <c r="Z25" i="1"/>
  <c r="I125" i="1"/>
  <c r="D23" i="12"/>
  <c r="C27" i="14"/>
  <c r="J25" i="1"/>
  <c r="E27" i="14" s="1"/>
  <c r="F27" i="14"/>
  <c r="F23" i="12"/>
  <c r="H125" i="1"/>
  <c r="K27" i="14"/>
  <c r="F26" i="1"/>
  <c r="G27" i="14"/>
  <c r="G23" i="12"/>
  <c r="T25" i="1"/>
  <c r="Q138" i="10"/>
  <c r="R138" i="10" s="1"/>
  <c r="S138" i="10" s="1"/>
  <c r="U25" i="1" s="1"/>
  <c r="Y138" i="10"/>
  <c r="V25" i="1" s="1"/>
  <c r="L27" i="14" s="1"/>
  <c r="D111" i="17" l="1"/>
  <c r="L109" i="7"/>
  <c r="B106" i="10"/>
  <c r="D28" i="14"/>
  <c r="B139" i="10"/>
  <c r="L26" i="1"/>
  <c r="L106" i="10" l="1"/>
  <c r="E106" i="10"/>
  <c r="F106" i="10" s="1"/>
  <c r="M106" i="10"/>
  <c r="N106" i="10" s="1"/>
  <c r="H111" i="17"/>
  <c r="M139" i="10"/>
  <c r="N139" i="10" s="1"/>
  <c r="M26" i="1"/>
  <c r="H28" i="14"/>
  <c r="E139" i="10"/>
  <c r="F139" i="10" s="1"/>
  <c r="L139" i="10"/>
  <c r="G106" i="10" l="1"/>
  <c r="H106" i="10" s="1"/>
  <c r="I106" i="10" s="1"/>
  <c r="I109" i="7" s="1"/>
  <c r="C111" i="17" s="1"/>
  <c r="O106" i="10"/>
  <c r="P106" i="10" s="1"/>
  <c r="Q109" i="7"/>
  <c r="T106" i="10"/>
  <c r="H109" i="7"/>
  <c r="X106" i="10"/>
  <c r="K109" i="7" s="1"/>
  <c r="G111" i="17" s="1"/>
  <c r="H26" i="1"/>
  <c r="X139" i="10"/>
  <c r="K26" i="1" s="1"/>
  <c r="G28" i="14" s="1"/>
  <c r="G139" i="10"/>
  <c r="H139" i="10" s="1"/>
  <c r="I139" i="10" s="1"/>
  <c r="I26" i="1" s="1"/>
  <c r="C28" i="14" s="1"/>
  <c r="N26" i="1"/>
  <c r="I28" i="14"/>
  <c r="S26" i="1"/>
  <c r="T139" i="10"/>
  <c r="O139" i="10"/>
  <c r="P139" i="10" s="1"/>
  <c r="J109" i="7" l="1"/>
  <c r="E111" i="17" s="1"/>
  <c r="F111" i="17"/>
  <c r="U106" i="10"/>
  <c r="O109" i="7" s="1"/>
  <c r="R109" i="7"/>
  <c r="J111" i="17" s="1"/>
  <c r="Q106" i="10"/>
  <c r="R106" i="10" s="1"/>
  <c r="S106" i="10" s="1"/>
  <c r="S109" i="7" s="1"/>
  <c r="Y106" i="10"/>
  <c r="T109" i="7" s="1"/>
  <c r="L111" i="17" s="1"/>
  <c r="K111" i="17"/>
  <c r="F110" i="7"/>
  <c r="U139" i="10"/>
  <c r="O26" i="1" s="1"/>
  <c r="J28" i="14" s="1"/>
  <c r="Q139" i="10"/>
  <c r="R139" i="10" s="1"/>
  <c r="S139" i="10" s="1"/>
  <c r="U26" i="1" s="1"/>
  <c r="Y139" i="10"/>
  <c r="V26" i="1" s="1"/>
  <c r="L28" i="14" s="1"/>
  <c r="T26" i="1"/>
  <c r="F27" i="1"/>
  <c r="K28" i="14"/>
  <c r="W26" i="1"/>
  <c r="Z26" i="1"/>
  <c r="J26" i="1"/>
  <c r="E28" i="14" s="1"/>
  <c r="F28" i="14"/>
  <c r="D112" i="17" l="1"/>
  <c r="E40" i="18"/>
  <c r="F142" i="7"/>
  <c r="B107" i="10"/>
  <c r="L110" i="7"/>
  <c r="D29" i="14"/>
  <c r="B140" i="10"/>
  <c r="L27" i="1"/>
  <c r="H112" i="17" l="1"/>
  <c r="M107" i="10"/>
  <c r="N107" i="10" s="1"/>
  <c r="L107" i="10"/>
  <c r="E107" i="10"/>
  <c r="F107" i="10" s="1"/>
  <c r="H29" i="14"/>
  <c r="M140" i="10"/>
  <c r="N140" i="10" s="1"/>
  <c r="M27" i="1"/>
  <c r="E140" i="10"/>
  <c r="F140" i="10" s="1"/>
  <c r="L140" i="10"/>
  <c r="G107" i="10" l="1"/>
  <c r="H107" i="10" s="1"/>
  <c r="I107" i="10" s="1"/>
  <c r="I110" i="7" s="1"/>
  <c r="C112" i="17" s="1"/>
  <c r="H110" i="7"/>
  <c r="X107" i="10"/>
  <c r="K110" i="7" s="1"/>
  <c r="Q110" i="7"/>
  <c r="O107" i="10"/>
  <c r="P107" i="10" s="1"/>
  <c r="T107" i="10"/>
  <c r="U107" i="10" s="1"/>
  <c r="O110" i="7" s="1"/>
  <c r="G140" i="10"/>
  <c r="H140" i="10" s="1"/>
  <c r="I140" i="10" s="1"/>
  <c r="I27" i="1" s="1"/>
  <c r="C29" i="14" s="1"/>
  <c r="H27" i="1"/>
  <c r="X140" i="10"/>
  <c r="K27" i="1" s="1"/>
  <c r="G29" i="14" s="1"/>
  <c r="I29" i="14"/>
  <c r="N27" i="1"/>
  <c r="T140" i="10"/>
  <c r="S27" i="1"/>
  <c r="O140" i="10"/>
  <c r="P140" i="10" s="1"/>
  <c r="I142" i="7" l="1"/>
  <c r="D40" i="18"/>
  <c r="K112" i="17"/>
  <c r="F111" i="7"/>
  <c r="G112" i="17"/>
  <c r="G40" i="18"/>
  <c r="Y107" i="10"/>
  <c r="T110" i="7" s="1"/>
  <c r="L112" i="17" s="1"/>
  <c r="R110" i="7"/>
  <c r="J112" i="17" s="1"/>
  <c r="Q107" i="10"/>
  <c r="R107" i="10" s="1"/>
  <c r="S107" i="10" s="1"/>
  <c r="S110" i="7" s="1"/>
  <c r="F112" i="17"/>
  <c r="F40" i="18"/>
  <c r="H142" i="7"/>
  <c r="J110" i="7"/>
  <c r="E112" i="17" s="1"/>
  <c r="K29" i="14"/>
  <c r="F28" i="1"/>
  <c r="U140" i="10"/>
  <c r="O27" i="1" s="1"/>
  <c r="J29" i="14" s="1"/>
  <c r="Y140" i="10"/>
  <c r="V27" i="1" s="1"/>
  <c r="L29" i="14" s="1"/>
  <c r="T27" i="1"/>
  <c r="Q140" i="10"/>
  <c r="R140" i="10" s="1"/>
  <c r="S140" i="10" s="1"/>
  <c r="U27" i="1" s="1"/>
  <c r="J27" i="1"/>
  <c r="E29" i="14" s="1"/>
  <c r="F29" i="14"/>
  <c r="W27" i="1"/>
  <c r="Z27" i="1"/>
  <c r="L111" i="7" l="1"/>
  <c r="M108" i="10" s="1"/>
  <c r="D113" i="17"/>
  <c r="B108" i="10"/>
  <c r="D30" i="14"/>
  <c r="L28" i="1"/>
  <c r="B141" i="10"/>
  <c r="H113" i="17" l="1"/>
  <c r="E108" i="10"/>
  <c r="F108" i="10" s="1"/>
  <c r="L108" i="10"/>
  <c r="N108" i="10"/>
  <c r="L141" i="10"/>
  <c r="E141" i="10"/>
  <c r="F141" i="10" s="1"/>
  <c r="M141" i="10"/>
  <c r="N141" i="10" s="1"/>
  <c r="M28" i="1"/>
  <c r="H30" i="14"/>
  <c r="G108" i="10" l="1"/>
  <c r="H108" i="10" s="1"/>
  <c r="I108" i="10" s="1"/>
  <c r="I111" i="7" s="1"/>
  <c r="C113" i="17" s="1"/>
  <c r="X108" i="10"/>
  <c r="K111" i="7" s="1"/>
  <c r="G113" i="17" s="1"/>
  <c r="H111" i="7"/>
  <c r="Q111" i="7"/>
  <c r="T108" i="10"/>
  <c r="U108" i="10" s="1"/>
  <c r="O111" i="7" s="1"/>
  <c r="O108" i="10"/>
  <c r="P108" i="10" s="1"/>
  <c r="S28" i="1"/>
  <c r="O141" i="10"/>
  <c r="P141" i="10" s="1"/>
  <c r="T141" i="10"/>
  <c r="N28" i="1"/>
  <c r="I30" i="14"/>
  <c r="X141" i="10"/>
  <c r="K28" i="1" s="1"/>
  <c r="G30" i="14" s="1"/>
  <c r="G141" i="10"/>
  <c r="H141" i="10" s="1"/>
  <c r="I141" i="10" s="1"/>
  <c r="I28" i="1" s="1"/>
  <c r="C30" i="14" s="1"/>
  <c r="H28" i="1"/>
  <c r="J111" i="7" l="1"/>
  <c r="E113" i="17" s="1"/>
  <c r="F113" i="17"/>
  <c r="Q108" i="10"/>
  <c r="R108" i="10" s="1"/>
  <c r="S108" i="10" s="1"/>
  <c r="S111" i="7" s="1"/>
  <c r="R111" i="7"/>
  <c r="J113" i="17" s="1"/>
  <c r="Y108" i="10"/>
  <c r="T111" i="7" s="1"/>
  <c r="L113" i="17" s="1"/>
  <c r="F112" i="7"/>
  <c r="K113" i="17"/>
  <c r="F30" i="14"/>
  <c r="J28" i="1"/>
  <c r="E30" i="14" s="1"/>
  <c r="T28" i="1"/>
  <c r="Q141" i="10"/>
  <c r="R141" i="10" s="1"/>
  <c r="S141" i="10" s="1"/>
  <c r="U28" i="1" s="1"/>
  <c r="Y141" i="10"/>
  <c r="V28" i="1" s="1"/>
  <c r="L30" i="14" s="1"/>
  <c r="Z28" i="1"/>
  <c r="W28" i="1"/>
  <c r="U141" i="10"/>
  <c r="O28" i="1" s="1"/>
  <c r="J30" i="14" s="1"/>
  <c r="F29" i="1"/>
  <c r="K30" i="14"/>
  <c r="D114" i="17" l="1"/>
  <c r="B109" i="10"/>
  <c r="L112" i="7"/>
  <c r="D31" i="14"/>
  <c r="B142" i="10"/>
  <c r="L29" i="1"/>
  <c r="L109" i="10" l="1"/>
  <c r="E109" i="10"/>
  <c r="F109" i="10" s="1"/>
  <c r="M109" i="10"/>
  <c r="N109" i="10" s="1"/>
  <c r="H114" i="17"/>
  <c r="M29" i="1"/>
  <c r="M142" i="10"/>
  <c r="N142" i="10" s="1"/>
  <c r="H31" i="14"/>
  <c r="L142" i="10"/>
  <c r="E142" i="10"/>
  <c r="F142" i="10" s="1"/>
  <c r="T109" i="10" l="1"/>
  <c r="O109" i="10"/>
  <c r="P109" i="10" s="1"/>
  <c r="Q112" i="7"/>
  <c r="H112" i="7"/>
  <c r="X109" i="10"/>
  <c r="K112" i="7" s="1"/>
  <c r="G114" i="17" s="1"/>
  <c r="G109" i="10"/>
  <c r="H109" i="10" s="1"/>
  <c r="I109" i="10" s="1"/>
  <c r="I112" i="7" s="1"/>
  <c r="C114" i="17" s="1"/>
  <c r="U109" i="10"/>
  <c r="O112" i="7" s="1"/>
  <c r="G142" i="10"/>
  <c r="H142" i="10" s="1"/>
  <c r="I142" i="10" s="1"/>
  <c r="I29" i="1" s="1"/>
  <c r="C31" i="14" s="1"/>
  <c r="X142" i="10"/>
  <c r="K29" i="1" s="1"/>
  <c r="G31" i="14" s="1"/>
  <c r="H29" i="1"/>
  <c r="O142" i="10"/>
  <c r="P142" i="10" s="1"/>
  <c r="T142" i="10"/>
  <c r="S29" i="1"/>
  <c r="N29" i="1"/>
  <c r="I31" i="14"/>
  <c r="J112" i="7" l="1"/>
  <c r="E114" i="17" s="1"/>
  <c r="F114" i="17"/>
  <c r="F113" i="7"/>
  <c r="K114" i="17"/>
  <c r="R112" i="7"/>
  <c r="J114" i="17" s="1"/>
  <c r="Y109" i="10"/>
  <c r="T112" i="7" s="1"/>
  <c r="L114" i="17" s="1"/>
  <c r="Q109" i="10"/>
  <c r="R109" i="10" s="1"/>
  <c r="S109" i="10" s="1"/>
  <c r="S112" i="7" s="1"/>
  <c r="Z29" i="1"/>
  <c r="W29" i="1"/>
  <c r="K31" i="14"/>
  <c r="F30" i="1"/>
  <c r="J29" i="1"/>
  <c r="E31" i="14" s="1"/>
  <c r="F31" i="14"/>
  <c r="U142" i="10"/>
  <c r="O29" i="1" s="1"/>
  <c r="J31" i="14" s="1"/>
  <c r="T29" i="1"/>
  <c r="Q142" i="10"/>
  <c r="R142" i="10" s="1"/>
  <c r="S142" i="10" s="1"/>
  <c r="U29" i="1" s="1"/>
  <c r="Y142" i="10"/>
  <c r="V29" i="1" s="1"/>
  <c r="L31" i="14" s="1"/>
  <c r="D115" i="17" l="1"/>
  <c r="L113" i="7"/>
  <c r="B110" i="10"/>
  <c r="D32" i="14"/>
  <c r="L30" i="1"/>
  <c r="E24" i="12"/>
  <c r="B143" i="10"/>
  <c r="F126" i="1"/>
  <c r="M110" i="10" l="1"/>
  <c r="N110" i="10" s="1"/>
  <c r="H115" i="17"/>
  <c r="E110" i="10"/>
  <c r="F110" i="10" s="1"/>
  <c r="L110" i="10"/>
  <c r="M143" i="10"/>
  <c r="N143" i="10" s="1"/>
  <c r="H32" i="14"/>
  <c r="M30" i="1"/>
  <c r="E143" i="10"/>
  <c r="F143" i="10" s="1"/>
  <c r="L143" i="10"/>
  <c r="Q113" i="7" l="1"/>
  <c r="O110" i="10"/>
  <c r="P110" i="10" s="1"/>
  <c r="T110" i="10"/>
  <c r="H113" i="7"/>
  <c r="G110" i="10"/>
  <c r="H110" i="10" s="1"/>
  <c r="I110" i="10" s="1"/>
  <c r="I113" i="7" s="1"/>
  <c r="C115" i="17" s="1"/>
  <c r="X110" i="10"/>
  <c r="K113" i="7" s="1"/>
  <c r="G115" i="17" s="1"/>
  <c r="X143" i="10"/>
  <c r="K30" i="1" s="1"/>
  <c r="H30" i="1"/>
  <c r="G143" i="10"/>
  <c r="H143" i="10" s="1"/>
  <c r="I143" i="10" s="1"/>
  <c r="I30" i="1" s="1"/>
  <c r="I32" i="14"/>
  <c r="N30" i="1"/>
  <c r="O143" i="10"/>
  <c r="P143" i="10" s="1"/>
  <c r="S30" i="1"/>
  <c r="T143" i="10"/>
  <c r="U110" i="10" l="1"/>
  <c r="O113" i="7" s="1"/>
  <c r="Q110" i="10"/>
  <c r="R110" i="10" s="1"/>
  <c r="S110" i="10" s="1"/>
  <c r="S113" i="7" s="1"/>
  <c r="R113" i="7"/>
  <c r="J115" i="17" s="1"/>
  <c r="Y110" i="10"/>
  <c r="T113" i="7" s="1"/>
  <c r="L115" i="17" s="1"/>
  <c r="J113" i="7"/>
  <c r="E115" i="17" s="1"/>
  <c r="F115" i="17"/>
  <c r="F114" i="7"/>
  <c r="K115" i="17"/>
  <c r="K32" i="14"/>
  <c r="F31" i="1"/>
  <c r="Z30" i="1"/>
  <c r="W30" i="1"/>
  <c r="F32" i="14"/>
  <c r="F24" i="12"/>
  <c r="J30" i="1"/>
  <c r="E32" i="14" s="1"/>
  <c r="H126" i="1"/>
  <c r="U143" i="10"/>
  <c r="O30" i="1" s="1"/>
  <c r="J32" i="14" s="1"/>
  <c r="Q143" i="10"/>
  <c r="R143" i="10" s="1"/>
  <c r="S143" i="10" s="1"/>
  <c r="U30" i="1" s="1"/>
  <c r="Y143" i="10"/>
  <c r="V30" i="1" s="1"/>
  <c r="L32" i="14" s="1"/>
  <c r="T30" i="1"/>
  <c r="D24" i="12"/>
  <c r="C32" i="14"/>
  <c r="I126" i="1"/>
  <c r="G24" i="12"/>
  <c r="G32" i="14"/>
  <c r="D116" i="17" l="1"/>
  <c r="L114" i="7"/>
  <c r="B111" i="10"/>
  <c r="D33" i="14"/>
  <c r="B144" i="10"/>
  <c r="L31" i="1"/>
  <c r="H116" i="17" l="1"/>
  <c r="M111" i="10"/>
  <c r="N111" i="10" s="1"/>
  <c r="E111" i="10"/>
  <c r="F111" i="10" s="1"/>
  <c r="L111" i="10"/>
  <c r="H33" i="14"/>
  <c r="M144" i="10"/>
  <c r="N144" i="10" s="1"/>
  <c r="M31" i="1"/>
  <c r="L144" i="10"/>
  <c r="E144" i="10"/>
  <c r="F144" i="10" s="1"/>
  <c r="H114" i="7" l="1"/>
  <c r="G111" i="10"/>
  <c r="H111" i="10" s="1"/>
  <c r="I111" i="10" s="1"/>
  <c r="I114" i="7" s="1"/>
  <c r="C116" i="17" s="1"/>
  <c r="X111" i="10"/>
  <c r="K114" i="7" s="1"/>
  <c r="G116" i="17" s="1"/>
  <c r="Q114" i="7"/>
  <c r="T111" i="10"/>
  <c r="O111" i="10"/>
  <c r="P111" i="10" s="1"/>
  <c r="O144" i="10"/>
  <c r="P144" i="10" s="1"/>
  <c r="S31" i="1"/>
  <c r="T144" i="10"/>
  <c r="G144" i="10"/>
  <c r="H144" i="10" s="1"/>
  <c r="I144" i="10" s="1"/>
  <c r="I31" i="1" s="1"/>
  <c r="C33" i="14" s="1"/>
  <c r="H31" i="1"/>
  <c r="X144" i="10"/>
  <c r="K31" i="1" s="1"/>
  <c r="G33" i="14" s="1"/>
  <c r="I33" i="14"/>
  <c r="N31" i="1"/>
  <c r="R114" i="7" l="1"/>
  <c r="J116" i="17" s="1"/>
  <c r="Q111" i="10"/>
  <c r="R111" i="10" s="1"/>
  <c r="S111" i="10" s="1"/>
  <c r="S114" i="7" s="1"/>
  <c r="Y111" i="10"/>
  <c r="T114" i="7" s="1"/>
  <c r="L116" i="17" s="1"/>
  <c r="F115" i="7"/>
  <c r="K116" i="17"/>
  <c r="U111" i="10"/>
  <c r="O114" i="7" s="1"/>
  <c r="J114" i="7"/>
  <c r="E116" i="17" s="1"/>
  <c r="F116" i="17"/>
  <c r="W31" i="1"/>
  <c r="Z31" i="1"/>
  <c r="F32" i="1"/>
  <c r="K33" i="14"/>
  <c r="J31" i="1"/>
  <c r="E33" i="14" s="1"/>
  <c r="F33" i="14"/>
  <c r="U144" i="10"/>
  <c r="O31" i="1" s="1"/>
  <c r="J33" i="14" s="1"/>
  <c r="Q144" i="10"/>
  <c r="R144" i="10" s="1"/>
  <c r="S144" i="10" s="1"/>
  <c r="U31" i="1" s="1"/>
  <c r="Y144" i="10"/>
  <c r="V31" i="1" s="1"/>
  <c r="L33" i="14" s="1"/>
  <c r="T31" i="1"/>
  <c r="D117" i="17" l="1"/>
  <c r="E41" i="18"/>
  <c r="E42" i="18"/>
  <c r="M31" i="18"/>
  <c r="F143" i="7"/>
  <c r="B112" i="10"/>
  <c r="L115" i="7"/>
  <c r="B145" i="10"/>
  <c r="D34" i="14"/>
  <c r="L32" i="1"/>
  <c r="H117" i="17" l="1"/>
  <c r="M112" i="10"/>
  <c r="N112" i="10" s="1"/>
  <c r="L116" i="7"/>
  <c r="L117" i="7"/>
  <c r="E112" i="10"/>
  <c r="F112" i="10" s="1"/>
  <c r="L112" i="10"/>
  <c r="M145" i="10"/>
  <c r="N145" i="10" s="1"/>
  <c r="M32" i="1"/>
  <c r="H34" i="14"/>
  <c r="L145" i="10"/>
  <c r="E145" i="10"/>
  <c r="F145" i="10" s="1"/>
  <c r="L118" i="7" l="1"/>
  <c r="B31" i="7" s="1"/>
  <c r="G112" i="10"/>
  <c r="H112" i="10" s="1"/>
  <c r="I112" i="10" s="1"/>
  <c r="I115" i="7" s="1"/>
  <c r="X112" i="10"/>
  <c r="K115" i="7" s="1"/>
  <c r="H115" i="7"/>
  <c r="T112" i="10"/>
  <c r="Q115" i="7"/>
  <c r="K117" i="17" s="1"/>
  <c r="O112" i="10"/>
  <c r="P112" i="10" s="1"/>
  <c r="H32" i="1"/>
  <c r="X145" i="10"/>
  <c r="K32" i="1" s="1"/>
  <c r="G34" i="14" s="1"/>
  <c r="G145" i="10"/>
  <c r="H145" i="10" s="1"/>
  <c r="I145" i="10" s="1"/>
  <c r="I32" i="1" s="1"/>
  <c r="C34" i="14" s="1"/>
  <c r="I34" i="14"/>
  <c r="N32" i="1"/>
  <c r="S32" i="1"/>
  <c r="O145" i="10"/>
  <c r="P145" i="10" s="1"/>
  <c r="T145" i="10"/>
  <c r="U145" i="10" s="1"/>
  <c r="O32" i="1" s="1"/>
  <c r="J34" i="14" s="1"/>
  <c r="F117" i="17" l="1"/>
  <c r="F41" i="18"/>
  <c r="F42" i="18"/>
  <c r="N31" i="18"/>
  <c r="J32" i="18" s="1"/>
  <c r="H143" i="7"/>
  <c r="J115" i="7"/>
  <c r="E117" i="17" s="1"/>
  <c r="G117" i="17"/>
  <c r="G41" i="18"/>
  <c r="G42" i="18"/>
  <c r="C117" i="17"/>
  <c r="D41" i="18"/>
  <c r="O31" i="18"/>
  <c r="D42" i="18"/>
  <c r="I143" i="7"/>
  <c r="Y112" i="10"/>
  <c r="T115" i="7" s="1"/>
  <c r="L117" i="17" s="1"/>
  <c r="Q112" i="10"/>
  <c r="R112" i="10" s="1"/>
  <c r="S112" i="10" s="1"/>
  <c r="S115" i="7" s="1"/>
  <c r="R115" i="7"/>
  <c r="J117" i="17" s="1"/>
  <c r="U112" i="10"/>
  <c r="O115" i="7" s="1"/>
  <c r="Z32" i="1"/>
  <c r="W32" i="1"/>
  <c r="K34" i="14"/>
  <c r="F33" i="1"/>
  <c r="Y145" i="10"/>
  <c r="V32" i="1" s="1"/>
  <c r="L34" i="14" s="1"/>
  <c r="T32" i="1"/>
  <c r="Q145" i="10"/>
  <c r="R145" i="10" s="1"/>
  <c r="S145" i="10" s="1"/>
  <c r="U32" i="1" s="1"/>
  <c r="J32" i="1"/>
  <c r="E34" i="14" s="1"/>
  <c r="F34" i="14"/>
  <c r="D35" i="14" l="1"/>
  <c r="L33" i="1"/>
  <c r="B146" i="10"/>
  <c r="E146" i="10" l="1"/>
  <c r="F146" i="10" s="1"/>
  <c r="L146" i="10"/>
  <c r="M146" i="10"/>
  <c r="N146" i="10" s="1"/>
  <c r="H35" i="14"/>
  <c r="M33" i="1"/>
  <c r="H33" i="1" l="1"/>
  <c r="X146" i="10"/>
  <c r="K33" i="1" s="1"/>
  <c r="G35" i="14" s="1"/>
  <c r="G146" i="10"/>
  <c r="H146" i="10" s="1"/>
  <c r="I146" i="10" s="1"/>
  <c r="I33" i="1" s="1"/>
  <c r="C35" i="14" s="1"/>
  <c r="I35" i="14"/>
  <c r="N33" i="1"/>
  <c r="S33" i="1"/>
  <c r="O146" i="10"/>
  <c r="P146" i="10" s="1"/>
  <c r="T146" i="10"/>
  <c r="W33" i="1" l="1"/>
  <c r="Z33" i="1"/>
  <c r="U146" i="10"/>
  <c r="O33" i="1" s="1"/>
  <c r="J35" i="14" s="1"/>
  <c r="T33" i="1"/>
  <c r="Y146" i="10"/>
  <c r="V33" i="1" s="1"/>
  <c r="L35" i="14" s="1"/>
  <c r="Q146" i="10"/>
  <c r="R146" i="10" s="1"/>
  <c r="S146" i="10" s="1"/>
  <c r="U33" i="1" s="1"/>
  <c r="K35" i="14"/>
  <c r="F34" i="1"/>
  <c r="F35" i="14"/>
  <c r="J33" i="1"/>
  <c r="E35" i="14" s="1"/>
  <c r="L34" i="1" l="1"/>
  <c r="B147" i="10"/>
  <c r="D36" i="14"/>
  <c r="E147" i="10" l="1"/>
  <c r="F147" i="10" s="1"/>
  <c r="L147" i="10"/>
  <c r="M34" i="1"/>
  <c r="M147" i="10"/>
  <c r="N147" i="10" s="1"/>
  <c r="H36" i="14"/>
  <c r="O147" i="10" l="1"/>
  <c r="P147" i="10" s="1"/>
  <c r="T147" i="10"/>
  <c r="S34" i="1"/>
  <c r="G147" i="10"/>
  <c r="H147" i="10" s="1"/>
  <c r="I147" i="10" s="1"/>
  <c r="I34" i="1" s="1"/>
  <c r="C36" i="14" s="1"/>
  <c r="H34" i="1"/>
  <c r="X147" i="10"/>
  <c r="K34" i="1" s="1"/>
  <c r="G36" i="14" s="1"/>
  <c r="I36" i="14"/>
  <c r="N34" i="1"/>
  <c r="F35" i="1" l="1"/>
  <c r="K36" i="14"/>
  <c r="U147" i="10"/>
  <c r="O34" i="1" s="1"/>
  <c r="J36" i="14" s="1"/>
  <c r="Q147" i="10"/>
  <c r="R147" i="10" s="1"/>
  <c r="S147" i="10" s="1"/>
  <c r="U34" i="1" s="1"/>
  <c r="T34" i="1"/>
  <c r="Y147" i="10"/>
  <c r="V34" i="1" s="1"/>
  <c r="L36" i="14" s="1"/>
  <c r="W34" i="1"/>
  <c r="Z34" i="1"/>
  <c r="F36" i="14"/>
  <c r="J34" i="1"/>
  <c r="E36" i="14" s="1"/>
  <c r="B148" i="10" l="1"/>
  <c r="F127" i="1"/>
  <c r="E25" i="12"/>
  <c r="L35" i="1"/>
  <c r="D37" i="14"/>
  <c r="M35" i="1" l="1"/>
  <c r="H37" i="14"/>
  <c r="M148" i="10"/>
  <c r="N148" i="10" s="1"/>
  <c r="E148" i="10"/>
  <c r="F148" i="10" s="1"/>
  <c r="L148" i="10"/>
  <c r="G148" i="10" l="1"/>
  <c r="H148" i="10" s="1"/>
  <c r="I148" i="10" s="1"/>
  <c r="I35" i="1" s="1"/>
  <c r="H35" i="1"/>
  <c r="X148" i="10"/>
  <c r="K35" i="1" s="1"/>
  <c r="S35" i="1"/>
  <c r="T148" i="10"/>
  <c r="O148" i="10"/>
  <c r="P148" i="10" s="1"/>
  <c r="I37" i="14"/>
  <c r="N35" i="1"/>
  <c r="Q148" i="10" l="1"/>
  <c r="R148" i="10" s="1"/>
  <c r="S148" i="10" s="1"/>
  <c r="U35" i="1" s="1"/>
  <c r="Y148" i="10"/>
  <c r="V35" i="1" s="1"/>
  <c r="L37" i="14" s="1"/>
  <c r="T35" i="1"/>
  <c r="K37" i="14"/>
  <c r="F36" i="1"/>
  <c r="G25" i="12"/>
  <c r="G37" i="14"/>
  <c r="U148" i="10"/>
  <c r="O35" i="1" s="1"/>
  <c r="J37" i="14" s="1"/>
  <c r="J35" i="1"/>
  <c r="E37" i="14" s="1"/>
  <c r="F25" i="12"/>
  <c r="F37" i="14"/>
  <c r="H127" i="1"/>
  <c r="Z35" i="1"/>
  <c r="W35" i="1"/>
  <c r="C37" i="14"/>
  <c r="I127" i="1"/>
  <c r="D25" i="12"/>
  <c r="D38" i="14" l="1"/>
  <c r="L36" i="1"/>
  <c r="B149" i="10"/>
  <c r="E149" i="10" l="1"/>
  <c r="F149" i="10" s="1"/>
  <c r="L149" i="10"/>
  <c r="H38" i="14"/>
  <c r="M36" i="1"/>
  <c r="M149" i="10"/>
  <c r="N149" i="10" s="1"/>
  <c r="S36" i="1" l="1"/>
  <c r="T149" i="10"/>
  <c r="O149" i="10"/>
  <c r="P149" i="10" s="1"/>
  <c r="I38" i="14"/>
  <c r="N36" i="1"/>
  <c r="H36" i="1"/>
  <c r="X149" i="10"/>
  <c r="K36" i="1" s="1"/>
  <c r="G38" i="14" s="1"/>
  <c r="G149" i="10"/>
  <c r="H149" i="10" s="1"/>
  <c r="I149" i="10" s="1"/>
  <c r="I36" i="1" s="1"/>
  <c r="C38" i="14" s="1"/>
  <c r="J36" i="1" l="1"/>
  <c r="E38" i="14" s="1"/>
  <c r="F38" i="14"/>
  <c r="U149" i="10"/>
  <c r="O36" i="1" s="1"/>
  <c r="J38" i="14" s="1"/>
  <c r="T36" i="1"/>
  <c r="Y149" i="10"/>
  <c r="V36" i="1" s="1"/>
  <c r="L38" i="14" s="1"/>
  <c r="Q149" i="10"/>
  <c r="R149" i="10" s="1"/>
  <c r="S149" i="10" s="1"/>
  <c r="U36" i="1" s="1"/>
  <c r="Z36" i="1"/>
  <c r="W36" i="1"/>
  <c r="F37" i="1"/>
  <c r="K38" i="14"/>
  <c r="D39" i="14" l="1"/>
  <c r="B150" i="10"/>
  <c r="L37" i="1"/>
  <c r="H39" i="14" l="1"/>
  <c r="M37" i="1"/>
  <c r="M150" i="10"/>
  <c r="N150" i="10" s="1"/>
  <c r="L150" i="10"/>
  <c r="E150" i="10"/>
  <c r="F150" i="10" s="1"/>
  <c r="T150" i="10" l="1"/>
  <c r="O150" i="10"/>
  <c r="P150" i="10" s="1"/>
  <c r="S37" i="1"/>
  <c r="I39" i="14"/>
  <c r="N37" i="1"/>
  <c r="H37" i="1"/>
  <c r="X150" i="10"/>
  <c r="K37" i="1" s="1"/>
  <c r="G39" i="14" s="1"/>
  <c r="G150" i="10"/>
  <c r="H150" i="10" s="1"/>
  <c r="I150" i="10" s="1"/>
  <c r="I37" i="1" s="1"/>
  <c r="C39" i="14" s="1"/>
  <c r="J37" i="1" l="1"/>
  <c r="E39" i="14" s="1"/>
  <c r="F39" i="14"/>
  <c r="W37" i="1"/>
  <c r="Z37" i="1"/>
  <c r="F38" i="1"/>
  <c r="K39" i="14"/>
  <c r="U150" i="10"/>
  <c r="O37" i="1" s="1"/>
  <c r="J39" i="14" s="1"/>
  <c r="Q150" i="10"/>
  <c r="R150" i="10" s="1"/>
  <c r="S150" i="10" s="1"/>
  <c r="U37" i="1" s="1"/>
  <c r="Y150" i="10"/>
  <c r="V37" i="1" s="1"/>
  <c r="L39" i="14" s="1"/>
  <c r="T37" i="1"/>
  <c r="L38" i="1" l="1"/>
  <c r="D40" i="14"/>
  <c r="B151" i="10"/>
  <c r="E151" i="10" l="1"/>
  <c r="F151" i="10" s="1"/>
  <c r="L151" i="10"/>
  <c r="M38" i="1"/>
  <c r="M151" i="10"/>
  <c r="N151" i="10" s="1"/>
  <c r="H40" i="14"/>
  <c r="S38" i="1" l="1"/>
  <c r="O151" i="10"/>
  <c r="P151" i="10" s="1"/>
  <c r="T151" i="10"/>
  <c r="I40" i="14"/>
  <c r="N38" i="1"/>
  <c r="X151" i="10"/>
  <c r="K38" i="1" s="1"/>
  <c r="G40" i="14" s="1"/>
  <c r="H38" i="1"/>
  <c r="G151" i="10"/>
  <c r="H151" i="10" s="1"/>
  <c r="I151" i="10" s="1"/>
  <c r="I38" i="1" s="1"/>
  <c r="C40" i="14" s="1"/>
  <c r="F40" i="14" l="1"/>
  <c r="J38" i="1"/>
  <c r="E40" i="14" s="1"/>
  <c r="W38" i="1"/>
  <c r="Z38" i="1"/>
  <c r="Y151" i="10"/>
  <c r="V38" i="1" s="1"/>
  <c r="L40" i="14" s="1"/>
  <c r="T38" i="1"/>
  <c r="Q151" i="10"/>
  <c r="R151" i="10" s="1"/>
  <c r="S151" i="10" s="1"/>
  <c r="U38" i="1" s="1"/>
  <c r="U151" i="10"/>
  <c r="O38" i="1" s="1"/>
  <c r="J40" i="14" s="1"/>
  <c r="F39" i="1"/>
  <c r="K40" i="14"/>
  <c r="L39" i="1" l="1"/>
  <c r="D41" i="14"/>
  <c r="B152" i="10"/>
  <c r="E152" i="10" l="1"/>
  <c r="F152" i="10" s="1"/>
  <c r="L152" i="10"/>
  <c r="H41" i="14"/>
  <c r="M152" i="10"/>
  <c r="N152" i="10" s="1"/>
  <c r="M39" i="1"/>
  <c r="I41" i="14" l="1"/>
  <c r="N39" i="1"/>
  <c r="O152" i="10"/>
  <c r="P152" i="10" s="1"/>
  <c r="T152" i="10"/>
  <c r="S39" i="1"/>
  <c r="X152" i="10"/>
  <c r="K39" i="1" s="1"/>
  <c r="G41" i="14" s="1"/>
  <c r="H39" i="1"/>
  <c r="G152" i="10"/>
  <c r="H152" i="10" s="1"/>
  <c r="I152" i="10" s="1"/>
  <c r="I39" i="1" s="1"/>
  <c r="C41" i="14" s="1"/>
  <c r="W39" i="1" l="1"/>
  <c r="Z39" i="1"/>
  <c r="J39" i="1"/>
  <c r="E41" i="14" s="1"/>
  <c r="F41" i="14"/>
  <c r="K41" i="14"/>
  <c r="F40" i="1"/>
  <c r="U152" i="10"/>
  <c r="O39" i="1" s="1"/>
  <c r="J41" i="14" s="1"/>
  <c r="Y152" i="10"/>
  <c r="V39" i="1" s="1"/>
  <c r="L41" i="14" s="1"/>
  <c r="T39" i="1"/>
  <c r="Q152" i="10"/>
  <c r="R152" i="10" s="1"/>
  <c r="S152" i="10" s="1"/>
  <c r="U39" i="1" s="1"/>
  <c r="L40" i="1" l="1"/>
  <c r="E26" i="12"/>
  <c r="D42" i="14"/>
  <c r="F128" i="1"/>
  <c r="B153" i="10"/>
  <c r="L153" i="10" l="1"/>
  <c r="E153" i="10"/>
  <c r="F153" i="10" s="1"/>
  <c r="M40" i="1"/>
  <c r="H42" i="14"/>
  <c r="M153" i="10"/>
  <c r="N153" i="10" s="1"/>
  <c r="O153" i="10" l="1"/>
  <c r="P153" i="10" s="1"/>
  <c r="T153" i="10"/>
  <c r="S40" i="1"/>
  <c r="N40" i="1"/>
  <c r="I42" i="14"/>
  <c r="G153" i="10"/>
  <c r="H153" i="10" s="1"/>
  <c r="I153" i="10" s="1"/>
  <c r="I40" i="1" s="1"/>
  <c r="H40" i="1"/>
  <c r="X153" i="10"/>
  <c r="K40" i="1" s="1"/>
  <c r="G42" i="14" l="1"/>
  <c r="G26" i="12"/>
  <c r="H128" i="1"/>
  <c r="F42" i="14"/>
  <c r="F26" i="12"/>
  <c r="J40" i="1"/>
  <c r="E42" i="14" s="1"/>
  <c r="C42" i="14"/>
  <c r="D26" i="12"/>
  <c r="I128" i="1"/>
  <c r="U153" i="10"/>
  <c r="O40" i="1" s="1"/>
  <c r="J42" i="14" s="1"/>
  <c r="T40" i="1"/>
  <c r="Y153" i="10"/>
  <c r="V40" i="1" s="1"/>
  <c r="L42" i="14" s="1"/>
  <c r="Q153" i="10"/>
  <c r="R153" i="10" s="1"/>
  <c r="S153" i="10" s="1"/>
  <c r="U40" i="1" s="1"/>
  <c r="W40" i="1"/>
  <c r="Z40" i="1"/>
  <c r="K42" i="14"/>
  <c r="F41" i="1"/>
  <c r="B154" i="10" l="1"/>
  <c r="D43" i="14"/>
  <c r="L41" i="1"/>
  <c r="H43" i="14" l="1"/>
  <c r="M41" i="1"/>
  <c r="M154" i="10"/>
  <c r="N154" i="10" s="1"/>
  <c r="L154" i="10"/>
  <c r="E154" i="10"/>
  <c r="F154" i="10" s="1"/>
  <c r="H41" i="1" l="1"/>
  <c r="X154" i="10"/>
  <c r="K41" i="1" s="1"/>
  <c r="G43" i="14" s="1"/>
  <c r="G154" i="10"/>
  <c r="H154" i="10" s="1"/>
  <c r="I154" i="10" s="1"/>
  <c r="I41" i="1" s="1"/>
  <c r="C43" i="14" s="1"/>
  <c r="S41" i="1"/>
  <c r="O154" i="10"/>
  <c r="P154" i="10" s="1"/>
  <c r="T154" i="10"/>
  <c r="N41" i="1"/>
  <c r="I43" i="14"/>
  <c r="U154" i="10" l="1"/>
  <c r="O41" i="1" s="1"/>
  <c r="J43" i="14" s="1"/>
  <c r="T41" i="1"/>
  <c r="Y154" i="10"/>
  <c r="V41" i="1" s="1"/>
  <c r="L43" i="14" s="1"/>
  <c r="Q154" i="10"/>
  <c r="R154" i="10" s="1"/>
  <c r="S154" i="10" s="1"/>
  <c r="U41" i="1" s="1"/>
  <c r="Z41" i="1"/>
  <c r="W41" i="1"/>
  <c r="F42" i="1"/>
  <c r="K43" i="14"/>
  <c r="J41" i="1"/>
  <c r="E43" i="14" s="1"/>
  <c r="F43" i="14"/>
  <c r="D44" i="14" l="1"/>
  <c r="L42" i="1"/>
  <c r="B155" i="10"/>
  <c r="L155" i="10" l="1"/>
  <c r="E155" i="10"/>
  <c r="F155" i="10" s="1"/>
  <c r="H44" i="14"/>
  <c r="M155" i="10"/>
  <c r="N155" i="10" s="1"/>
  <c r="M42" i="1"/>
  <c r="T155" i="10" l="1"/>
  <c r="O155" i="10"/>
  <c r="P155" i="10" s="1"/>
  <c r="S42" i="1"/>
  <c r="I44" i="14"/>
  <c r="N42" i="1"/>
  <c r="H42" i="1"/>
  <c r="G155" i="10"/>
  <c r="H155" i="10" s="1"/>
  <c r="I155" i="10" s="1"/>
  <c r="I42" i="1" s="1"/>
  <c r="C44" i="14" s="1"/>
  <c r="X155" i="10"/>
  <c r="K42" i="1" s="1"/>
  <c r="G44" i="14" s="1"/>
  <c r="J42" i="1" l="1"/>
  <c r="E44" i="14" s="1"/>
  <c r="F44" i="14"/>
  <c r="Z42" i="1"/>
  <c r="W42" i="1"/>
  <c r="F43" i="1"/>
  <c r="K44" i="14"/>
  <c r="U155" i="10"/>
  <c r="O42" i="1" s="1"/>
  <c r="J44" i="14" s="1"/>
  <c r="Y155" i="10"/>
  <c r="V42" i="1" s="1"/>
  <c r="L44" i="14" s="1"/>
  <c r="Q155" i="10"/>
  <c r="R155" i="10" s="1"/>
  <c r="S155" i="10" s="1"/>
  <c r="U42" i="1" s="1"/>
  <c r="T42" i="1"/>
  <c r="B156" i="10" l="1"/>
  <c r="D45" i="14"/>
  <c r="L43" i="1"/>
  <c r="H45" i="14" l="1"/>
  <c r="M43" i="1"/>
  <c r="M156" i="10"/>
  <c r="N156" i="10" s="1"/>
  <c r="E156" i="10"/>
  <c r="F156" i="10" s="1"/>
  <c r="L156" i="10"/>
  <c r="H43" i="1" l="1"/>
  <c r="X156" i="10"/>
  <c r="K43" i="1" s="1"/>
  <c r="G45" i="14" s="1"/>
  <c r="G156" i="10"/>
  <c r="H156" i="10" s="1"/>
  <c r="I156" i="10" s="1"/>
  <c r="I43" i="1" s="1"/>
  <c r="C45" i="14" s="1"/>
  <c r="T156" i="10"/>
  <c r="O156" i="10"/>
  <c r="P156" i="10" s="1"/>
  <c r="S43" i="1"/>
  <c r="N43" i="1"/>
  <c r="I45" i="14"/>
  <c r="W43" i="1" l="1"/>
  <c r="Z43" i="1"/>
  <c r="U156" i="10"/>
  <c r="O43" i="1" s="1"/>
  <c r="J45" i="14" s="1"/>
  <c r="Q156" i="10"/>
  <c r="R156" i="10" s="1"/>
  <c r="S156" i="10" s="1"/>
  <c r="U43" i="1" s="1"/>
  <c r="T43" i="1"/>
  <c r="Y156" i="10"/>
  <c r="V43" i="1" s="1"/>
  <c r="L45" i="14" s="1"/>
  <c r="F44" i="1"/>
  <c r="K45" i="14"/>
  <c r="F45" i="14"/>
  <c r="J43" i="1"/>
  <c r="E45" i="14" s="1"/>
  <c r="D46" i="14" l="1"/>
  <c r="B157" i="10"/>
  <c r="L44" i="1"/>
  <c r="M157" i="10" l="1"/>
  <c r="N157" i="10" s="1"/>
  <c r="M44" i="1"/>
  <c r="H46" i="14"/>
  <c r="L157" i="10"/>
  <c r="E157" i="10"/>
  <c r="F157" i="10" s="1"/>
  <c r="G157" i="10" l="1"/>
  <c r="H157" i="10" s="1"/>
  <c r="I157" i="10" s="1"/>
  <c r="I44" i="1" s="1"/>
  <c r="C46" i="14" s="1"/>
  <c r="H44" i="1"/>
  <c r="X157" i="10"/>
  <c r="K44" i="1" s="1"/>
  <c r="G46" i="14" s="1"/>
  <c r="I46" i="14"/>
  <c r="N44" i="1"/>
  <c r="T157" i="10"/>
  <c r="S44" i="1"/>
  <c r="O157" i="10"/>
  <c r="P157" i="10" s="1"/>
  <c r="Z44" i="1" l="1"/>
  <c r="W44" i="1"/>
  <c r="U157" i="10"/>
  <c r="O44" i="1" s="1"/>
  <c r="J46" i="14" s="1"/>
  <c r="T44" i="1"/>
  <c r="Q157" i="10"/>
  <c r="R157" i="10" s="1"/>
  <c r="S157" i="10" s="1"/>
  <c r="U44" i="1" s="1"/>
  <c r="Y157" i="10"/>
  <c r="V44" i="1" s="1"/>
  <c r="L46" i="14" s="1"/>
  <c r="F46" i="14"/>
  <c r="J44" i="1"/>
  <c r="E46" i="14" s="1"/>
  <c r="K46" i="14"/>
  <c r="F45" i="1"/>
  <c r="L45" i="1" l="1"/>
  <c r="D47" i="14"/>
  <c r="B158" i="10"/>
  <c r="F129" i="1"/>
  <c r="E27" i="12"/>
  <c r="E158" i="10" l="1"/>
  <c r="F158" i="10" s="1"/>
  <c r="L158" i="10"/>
  <c r="M158" i="10"/>
  <c r="N158" i="10" s="1"/>
  <c r="M45" i="1"/>
  <c r="H47" i="14"/>
  <c r="G158" i="10" l="1"/>
  <c r="H158" i="10" s="1"/>
  <c r="I158" i="10" s="1"/>
  <c r="I45" i="1" s="1"/>
  <c r="X158" i="10"/>
  <c r="K45" i="1" s="1"/>
  <c r="H45" i="1"/>
  <c r="I47" i="14"/>
  <c r="N45" i="1"/>
  <c r="O158" i="10"/>
  <c r="P158" i="10" s="1"/>
  <c r="T158" i="10"/>
  <c r="S45" i="1"/>
  <c r="U158" i="10" l="1"/>
  <c r="O45" i="1" s="1"/>
  <c r="J47" i="14" s="1"/>
  <c r="Y158" i="10"/>
  <c r="V45" i="1" s="1"/>
  <c r="L47" i="14" s="1"/>
  <c r="T45" i="1"/>
  <c r="Q158" i="10"/>
  <c r="R158" i="10" s="1"/>
  <c r="S158" i="10" s="1"/>
  <c r="U45" i="1" s="1"/>
  <c r="F47" i="14"/>
  <c r="F27" i="12"/>
  <c r="H129" i="1"/>
  <c r="J45" i="1"/>
  <c r="E47" i="14" s="1"/>
  <c r="F46" i="1"/>
  <c r="K47" i="14"/>
  <c r="G27" i="12"/>
  <c r="G47" i="14"/>
  <c r="Z45" i="1"/>
  <c r="W45" i="1"/>
  <c r="I129" i="1"/>
  <c r="D27" i="12"/>
  <c r="C47" i="14"/>
  <c r="B159" i="10" l="1"/>
  <c r="D48" i="14"/>
  <c r="L46" i="1"/>
  <c r="M159" i="10" l="1"/>
  <c r="N159" i="10" s="1"/>
  <c r="H48" i="14"/>
  <c r="M46" i="1"/>
  <c r="E159" i="10"/>
  <c r="F159" i="10" s="1"/>
  <c r="L159" i="10"/>
  <c r="N46" i="1" l="1"/>
  <c r="I48" i="14"/>
  <c r="G159" i="10"/>
  <c r="H159" i="10" s="1"/>
  <c r="I159" i="10" s="1"/>
  <c r="I46" i="1" s="1"/>
  <c r="C48" i="14" s="1"/>
  <c r="X159" i="10"/>
  <c r="K46" i="1" s="1"/>
  <c r="G48" i="14" s="1"/>
  <c r="H46" i="1"/>
  <c r="S46" i="1"/>
  <c r="T159" i="10"/>
  <c r="O159" i="10"/>
  <c r="P159" i="10" s="1"/>
  <c r="U159" i="10" l="1"/>
  <c r="O46" i="1" s="1"/>
  <c r="J48" i="14" s="1"/>
  <c r="T46" i="1"/>
  <c r="Y159" i="10"/>
  <c r="V46" i="1" s="1"/>
  <c r="L48" i="14" s="1"/>
  <c r="Q159" i="10"/>
  <c r="R159" i="10" s="1"/>
  <c r="S159" i="10" s="1"/>
  <c r="U46" i="1" s="1"/>
  <c r="K48" i="14"/>
  <c r="F47" i="1"/>
  <c r="F48" i="14"/>
  <c r="J46" i="1"/>
  <c r="E48" i="14" s="1"/>
  <c r="Z46" i="1"/>
  <c r="W46" i="1"/>
  <c r="B160" i="10" l="1"/>
  <c r="L47" i="1"/>
  <c r="D49" i="14"/>
  <c r="M160" i="10" l="1"/>
  <c r="N160" i="10" s="1"/>
  <c r="H49" i="14"/>
  <c r="M47" i="1"/>
  <c r="E160" i="10"/>
  <c r="F160" i="10" s="1"/>
  <c r="L160" i="10"/>
  <c r="X160" i="10" l="1"/>
  <c r="K47" i="1" s="1"/>
  <c r="G49" i="14" s="1"/>
  <c r="H47" i="1"/>
  <c r="G160" i="10"/>
  <c r="H160" i="10" s="1"/>
  <c r="I160" i="10" s="1"/>
  <c r="I47" i="1" s="1"/>
  <c r="C49" i="14" s="1"/>
  <c r="N47" i="1"/>
  <c r="I49" i="14"/>
  <c r="T160" i="10"/>
  <c r="O160" i="10"/>
  <c r="P160" i="10" s="1"/>
  <c r="S47" i="1"/>
  <c r="K49" i="14" l="1"/>
  <c r="F48" i="1"/>
  <c r="U160" i="10"/>
  <c r="O47" i="1" s="1"/>
  <c r="J49" i="14" s="1"/>
  <c r="T47" i="1"/>
  <c r="Y160" i="10"/>
  <c r="V47" i="1" s="1"/>
  <c r="L49" i="14" s="1"/>
  <c r="Q160" i="10"/>
  <c r="R160" i="10" s="1"/>
  <c r="S160" i="10" s="1"/>
  <c r="U47" i="1" s="1"/>
  <c r="J47" i="1"/>
  <c r="E49" i="14" s="1"/>
  <c r="F49" i="14"/>
  <c r="Z47" i="1"/>
  <c r="W47" i="1"/>
  <c r="L48" i="1" l="1"/>
  <c r="D50" i="14"/>
  <c r="B161" i="10"/>
  <c r="E161" i="10" l="1"/>
  <c r="F161" i="10" s="1"/>
  <c r="L161" i="10"/>
  <c r="H50" i="14"/>
  <c r="M48" i="1"/>
  <c r="M161" i="10"/>
  <c r="N161" i="10" s="1"/>
  <c r="T161" i="10" l="1"/>
  <c r="O161" i="10"/>
  <c r="P161" i="10" s="1"/>
  <c r="S48" i="1"/>
  <c r="I50" i="14"/>
  <c r="N48" i="1"/>
  <c r="G161" i="10"/>
  <c r="H161" i="10" s="1"/>
  <c r="I161" i="10" s="1"/>
  <c r="I48" i="1" s="1"/>
  <c r="C50" i="14" s="1"/>
  <c r="X161" i="10"/>
  <c r="K48" i="1" s="1"/>
  <c r="G50" i="14" s="1"/>
  <c r="H48" i="1"/>
  <c r="K50" i="14" l="1"/>
  <c r="F49" i="1"/>
  <c r="Z48" i="1"/>
  <c r="W48" i="1"/>
  <c r="F50" i="14"/>
  <c r="J48" i="1"/>
  <c r="E50" i="14" s="1"/>
  <c r="U161" i="10"/>
  <c r="O48" i="1" s="1"/>
  <c r="J50" i="14" s="1"/>
  <c r="T48" i="1"/>
  <c r="Y161" i="10"/>
  <c r="V48" i="1" s="1"/>
  <c r="L50" i="14" s="1"/>
  <c r="Q161" i="10"/>
  <c r="R161" i="10" s="1"/>
  <c r="S161" i="10" s="1"/>
  <c r="U48" i="1" s="1"/>
  <c r="B162" i="10" l="1"/>
  <c r="L49" i="1"/>
  <c r="D51" i="14"/>
  <c r="M162" i="10" l="1"/>
  <c r="N162" i="10" s="1"/>
  <c r="M49" i="1"/>
  <c r="H51" i="14"/>
  <c r="L162" i="10"/>
  <c r="E162" i="10"/>
  <c r="F162" i="10" s="1"/>
  <c r="H49" i="1" l="1"/>
  <c r="X162" i="10"/>
  <c r="K49" i="1" s="1"/>
  <c r="G51" i="14" s="1"/>
  <c r="G162" i="10"/>
  <c r="H162" i="10" s="1"/>
  <c r="I162" i="10" s="1"/>
  <c r="I49" i="1" s="1"/>
  <c r="C51" i="14" s="1"/>
  <c r="N49" i="1"/>
  <c r="I51" i="14"/>
  <c r="O162" i="10"/>
  <c r="P162" i="10" s="1"/>
  <c r="T162" i="10"/>
  <c r="S49" i="1"/>
  <c r="T49" i="1" l="1"/>
  <c r="Y162" i="10"/>
  <c r="V49" i="1" s="1"/>
  <c r="L51" i="14" s="1"/>
  <c r="Q162" i="10"/>
  <c r="R162" i="10" s="1"/>
  <c r="S162" i="10" s="1"/>
  <c r="U49" i="1" s="1"/>
  <c r="Z49" i="1"/>
  <c r="W49" i="1"/>
  <c r="U162" i="10"/>
  <c r="O49" i="1" s="1"/>
  <c r="J51" i="14" s="1"/>
  <c r="K51" i="14"/>
  <c r="F50" i="1"/>
  <c r="F51" i="14"/>
  <c r="J49" i="1"/>
  <c r="E51" i="14" s="1"/>
  <c r="B163" i="10" l="1"/>
  <c r="D52" i="14"/>
  <c r="E28" i="12"/>
  <c r="L50" i="1"/>
  <c r="F130" i="1"/>
  <c r="H52" i="14" l="1"/>
  <c r="M163" i="10"/>
  <c r="N163" i="10" s="1"/>
  <c r="M50" i="1"/>
  <c r="E163" i="10"/>
  <c r="F163" i="10" s="1"/>
  <c r="L163" i="10"/>
  <c r="S50" i="1" l="1"/>
  <c r="O163" i="10"/>
  <c r="P163" i="10" s="1"/>
  <c r="T163" i="10"/>
  <c r="U163" i="10" s="1"/>
  <c r="O50" i="1" s="1"/>
  <c r="J52" i="14" s="1"/>
  <c r="G163" i="10"/>
  <c r="H163" i="10" s="1"/>
  <c r="I163" i="10" s="1"/>
  <c r="I50" i="1" s="1"/>
  <c r="X163" i="10"/>
  <c r="K50" i="1" s="1"/>
  <c r="H50" i="1"/>
  <c r="N50" i="1"/>
  <c r="I52" i="14"/>
  <c r="W50" i="1" l="1"/>
  <c r="Z50" i="1"/>
  <c r="G28" i="12"/>
  <c r="G52" i="14"/>
  <c r="F52" i="14"/>
  <c r="J50" i="1"/>
  <c r="E52" i="14" s="1"/>
  <c r="F28" i="12"/>
  <c r="H130" i="1"/>
  <c r="I130" i="1"/>
  <c r="C52" i="14"/>
  <c r="D28" i="12"/>
  <c r="T50" i="1"/>
  <c r="Y163" i="10"/>
  <c r="V50" i="1" s="1"/>
  <c r="L52" i="14" s="1"/>
  <c r="Q163" i="10"/>
  <c r="R163" i="10" s="1"/>
  <c r="S163" i="10" s="1"/>
  <c r="U50" i="1" s="1"/>
  <c r="K52" i="14"/>
  <c r="F51" i="1"/>
  <c r="L51" i="1" l="1"/>
  <c r="B164" i="10"/>
  <c r="D53" i="14"/>
  <c r="E164" i="10" l="1"/>
  <c r="F164" i="10" s="1"/>
  <c r="L164" i="10"/>
  <c r="H53" i="14"/>
  <c r="M164" i="10"/>
  <c r="N164" i="10" s="1"/>
  <c r="M51" i="1"/>
  <c r="I53" i="14" l="1"/>
  <c r="N51" i="1"/>
  <c r="G164" i="10"/>
  <c r="H164" i="10" s="1"/>
  <c r="I164" i="10" s="1"/>
  <c r="I51" i="1" s="1"/>
  <c r="C53" i="14" s="1"/>
  <c r="X164" i="10"/>
  <c r="K51" i="1" s="1"/>
  <c r="G53" i="14" s="1"/>
  <c r="H51" i="1"/>
  <c r="S51" i="1"/>
  <c r="T164" i="10"/>
  <c r="O164" i="10"/>
  <c r="P164" i="10" s="1"/>
  <c r="T51" i="1" l="1"/>
  <c r="Y164" i="10"/>
  <c r="V51" i="1" s="1"/>
  <c r="L53" i="14" s="1"/>
  <c r="Q164" i="10"/>
  <c r="R164" i="10" s="1"/>
  <c r="S164" i="10" s="1"/>
  <c r="U51" i="1" s="1"/>
  <c r="U164" i="10"/>
  <c r="O51" i="1" s="1"/>
  <c r="J53" i="14" s="1"/>
  <c r="F52" i="1"/>
  <c r="K53" i="14"/>
  <c r="J51" i="1"/>
  <c r="E53" i="14" s="1"/>
  <c r="F53" i="14"/>
  <c r="Z51" i="1"/>
  <c r="W51" i="1"/>
  <c r="X51" i="1" s="1"/>
  <c r="L52" i="1" l="1"/>
  <c r="D54" i="14"/>
  <c r="B165" i="10"/>
  <c r="E165" i="10" l="1"/>
  <c r="F165" i="10" s="1"/>
  <c r="L165" i="10"/>
  <c r="M52" i="1"/>
  <c r="H54" i="14"/>
  <c r="M165" i="10"/>
  <c r="N165" i="10" s="1"/>
  <c r="S52" i="1" l="1"/>
  <c r="O165" i="10"/>
  <c r="P165" i="10" s="1"/>
  <c r="T165" i="10"/>
  <c r="X165" i="10"/>
  <c r="K52" i="1" s="1"/>
  <c r="G54" i="14" s="1"/>
  <c r="G165" i="10"/>
  <c r="H165" i="10" s="1"/>
  <c r="I165" i="10" s="1"/>
  <c r="I52" i="1" s="1"/>
  <c r="C54" i="14" s="1"/>
  <c r="H52" i="1"/>
  <c r="N52" i="1"/>
  <c r="I54" i="14"/>
  <c r="J52" i="1" l="1"/>
  <c r="E54" i="14" s="1"/>
  <c r="F54" i="14"/>
  <c r="Z52" i="1"/>
  <c r="W52" i="1"/>
  <c r="U165" i="10"/>
  <c r="O52" i="1" s="1"/>
  <c r="J54" i="14" s="1"/>
  <c r="T52" i="1"/>
  <c r="Y165" i="10"/>
  <c r="V52" i="1" s="1"/>
  <c r="L54" i="14" s="1"/>
  <c r="Q165" i="10"/>
  <c r="R165" i="10" s="1"/>
  <c r="S165" i="10" s="1"/>
  <c r="U52" i="1" s="1"/>
  <c r="F53" i="1"/>
  <c r="K54" i="14"/>
  <c r="L53" i="1" l="1"/>
  <c r="D55" i="14"/>
  <c r="B166" i="10"/>
  <c r="E166" i="10" l="1"/>
  <c r="F166" i="10" s="1"/>
  <c r="L166" i="10"/>
  <c r="M166" i="10"/>
  <c r="N166" i="10" s="1"/>
  <c r="M53" i="1"/>
  <c r="H55" i="14"/>
  <c r="O166" i="10" l="1"/>
  <c r="P166" i="10" s="1"/>
  <c r="T166" i="10"/>
  <c r="S53" i="1"/>
  <c r="I55" i="14"/>
  <c r="N53" i="1"/>
  <c r="X166" i="10"/>
  <c r="K53" i="1" s="1"/>
  <c r="G55" i="14" s="1"/>
  <c r="H53" i="1"/>
  <c r="G166" i="10"/>
  <c r="H166" i="10" s="1"/>
  <c r="I166" i="10" s="1"/>
  <c r="I53" i="1" s="1"/>
  <c r="C55" i="14" s="1"/>
  <c r="J53" i="1" l="1"/>
  <c r="E55" i="14" s="1"/>
  <c r="F55" i="14"/>
  <c r="Q166" i="10"/>
  <c r="R166" i="10" s="1"/>
  <c r="S166" i="10" s="1"/>
  <c r="U53" i="1" s="1"/>
  <c r="T53" i="1"/>
  <c r="Y166" i="10"/>
  <c r="V53" i="1" s="1"/>
  <c r="L55" i="14" s="1"/>
  <c r="Z53" i="1"/>
  <c r="W53" i="1"/>
  <c r="K55" i="14"/>
  <c r="F54" i="1"/>
  <c r="U166" i="10"/>
  <c r="O53" i="1" s="1"/>
  <c r="J55" i="14" s="1"/>
  <c r="L54" i="1" l="1"/>
  <c r="B167" i="10"/>
  <c r="D56" i="14"/>
  <c r="E167" i="10" l="1"/>
  <c r="F167" i="10" s="1"/>
  <c r="L167" i="10"/>
  <c r="M167" i="10"/>
  <c r="N167" i="10" s="1"/>
  <c r="H56" i="14"/>
  <c r="M54" i="1"/>
  <c r="N54" i="1" l="1"/>
  <c r="I56" i="14"/>
  <c r="H54" i="1"/>
  <c r="G167" i="10"/>
  <c r="H167" i="10" s="1"/>
  <c r="I167" i="10" s="1"/>
  <c r="I54" i="1" s="1"/>
  <c r="C56" i="14" s="1"/>
  <c r="X167" i="10"/>
  <c r="K54" i="1" s="1"/>
  <c r="G56" i="14" s="1"/>
  <c r="O167" i="10"/>
  <c r="P167" i="10" s="1"/>
  <c r="S54" i="1"/>
  <c r="T167" i="10"/>
  <c r="U167" i="10" s="1"/>
  <c r="O54" i="1" s="1"/>
  <c r="J56" i="14" s="1"/>
  <c r="F56" i="14" l="1"/>
  <c r="J54" i="1"/>
  <c r="E56" i="14" s="1"/>
  <c r="K56" i="14"/>
  <c r="F55" i="1"/>
  <c r="Q167" i="10"/>
  <c r="R167" i="10" s="1"/>
  <c r="S167" i="10" s="1"/>
  <c r="U54" i="1" s="1"/>
  <c r="T54" i="1"/>
  <c r="Y167" i="10"/>
  <c r="V54" i="1" s="1"/>
  <c r="L56" i="14" s="1"/>
  <c r="Z54" i="1"/>
  <c r="W54" i="1"/>
  <c r="F131" i="1" l="1"/>
  <c r="B168" i="10"/>
  <c r="E29" i="12"/>
  <c r="D57" i="14"/>
  <c r="L55" i="1"/>
  <c r="E168" i="10" l="1"/>
  <c r="F168" i="10" s="1"/>
  <c r="L168" i="10"/>
  <c r="M168" i="10"/>
  <c r="N168" i="10" s="1"/>
  <c r="M55" i="1"/>
  <c r="H57" i="14"/>
  <c r="H55" i="1" l="1"/>
  <c r="G168" i="10"/>
  <c r="H168" i="10" s="1"/>
  <c r="I168" i="10" s="1"/>
  <c r="I55" i="1" s="1"/>
  <c r="X168" i="10"/>
  <c r="K55" i="1" s="1"/>
  <c r="N55" i="1"/>
  <c r="I57" i="14"/>
  <c r="O168" i="10"/>
  <c r="P168" i="10" s="1"/>
  <c r="T168" i="10"/>
  <c r="S55" i="1"/>
  <c r="W55" i="1" l="1"/>
  <c r="Z55" i="1"/>
  <c r="I131" i="1"/>
  <c r="D29" i="12"/>
  <c r="C57" i="14"/>
  <c r="Y168" i="10"/>
  <c r="V55" i="1" s="1"/>
  <c r="L57" i="14" s="1"/>
  <c r="T55" i="1"/>
  <c r="Q168" i="10"/>
  <c r="R168" i="10" s="1"/>
  <c r="S168" i="10" s="1"/>
  <c r="U55" i="1" s="1"/>
  <c r="U168" i="10"/>
  <c r="O55" i="1" s="1"/>
  <c r="J57" i="14" s="1"/>
  <c r="G57" i="14"/>
  <c r="G29" i="12"/>
  <c r="K57" i="14"/>
  <c r="F56" i="1"/>
  <c r="J55" i="1"/>
  <c r="E57" i="14" s="1"/>
  <c r="H131" i="1"/>
  <c r="F29" i="12"/>
  <c r="F57" i="14"/>
  <c r="D58" i="14" l="1"/>
  <c r="B169" i="10"/>
  <c r="L56" i="1"/>
  <c r="M56" i="1" l="1"/>
  <c r="H58" i="14"/>
  <c r="M169" i="10"/>
  <c r="N169" i="10" s="1"/>
  <c r="L169" i="10"/>
  <c r="E169" i="10"/>
  <c r="F169" i="10" s="1"/>
  <c r="G169" i="10" l="1"/>
  <c r="H169" i="10" s="1"/>
  <c r="I169" i="10" s="1"/>
  <c r="I56" i="1" s="1"/>
  <c r="C58" i="14" s="1"/>
  <c r="X169" i="10"/>
  <c r="K56" i="1" s="1"/>
  <c r="G58" i="14" s="1"/>
  <c r="H56" i="1"/>
  <c r="S56" i="1"/>
  <c r="T169" i="10"/>
  <c r="O169" i="10"/>
  <c r="P169" i="10" s="1"/>
  <c r="N56" i="1"/>
  <c r="I58" i="14"/>
  <c r="Z56" i="1" l="1"/>
  <c r="W56" i="1"/>
  <c r="T56" i="1"/>
  <c r="Q169" i="10"/>
  <c r="R169" i="10" s="1"/>
  <c r="S169" i="10" s="1"/>
  <c r="U56" i="1" s="1"/>
  <c r="Y169" i="10"/>
  <c r="V56" i="1" s="1"/>
  <c r="L58" i="14" s="1"/>
  <c r="K58" i="14"/>
  <c r="F57" i="1"/>
  <c r="U169" i="10"/>
  <c r="O56" i="1" s="1"/>
  <c r="J58" i="14" s="1"/>
  <c r="F58" i="14"/>
  <c r="J56" i="1"/>
  <c r="E58" i="14" s="1"/>
  <c r="D59" i="14" l="1"/>
  <c r="L57" i="1"/>
  <c r="B170" i="10"/>
  <c r="L170" i="10" l="1"/>
  <c r="E170" i="10"/>
  <c r="F170" i="10" s="1"/>
  <c r="M170" i="10"/>
  <c r="N170" i="10" s="1"/>
  <c r="M57" i="1"/>
  <c r="H59" i="14"/>
  <c r="N57" i="1" l="1"/>
  <c r="I59" i="14"/>
  <c r="S57" i="1"/>
  <c r="O170" i="10"/>
  <c r="P170" i="10" s="1"/>
  <c r="T170" i="10"/>
  <c r="H57" i="1"/>
  <c r="X170" i="10"/>
  <c r="K57" i="1" s="1"/>
  <c r="G59" i="14" s="1"/>
  <c r="G170" i="10"/>
  <c r="H170" i="10" s="1"/>
  <c r="I170" i="10" s="1"/>
  <c r="I57" i="1" s="1"/>
  <c r="C59" i="14" s="1"/>
  <c r="F59" i="14" l="1"/>
  <c r="J57" i="1"/>
  <c r="E59" i="14" s="1"/>
  <c r="U170" i="10"/>
  <c r="O57" i="1" s="1"/>
  <c r="J59" i="14" s="1"/>
  <c r="T57" i="1"/>
  <c r="Q170" i="10"/>
  <c r="R170" i="10" s="1"/>
  <c r="S170" i="10" s="1"/>
  <c r="U57" i="1" s="1"/>
  <c r="Y170" i="10"/>
  <c r="V57" i="1" s="1"/>
  <c r="L59" i="14" s="1"/>
  <c r="K59" i="14"/>
  <c r="F58" i="1"/>
  <c r="Z57" i="1"/>
  <c r="W57" i="1"/>
  <c r="L58" i="1" l="1"/>
  <c r="D60" i="14"/>
  <c r="B171" i="10"/>
  <c r="E171" i="10" l="1"/>
  <c r="F171" i="10" s="1"/>
  <c r="L171" i="10"/>
  <c r="M58" i="1"/>
  <c r="M171" i="10"/>
  <c r="N171" i="10" s="1"/>
  <c r="H60" i="14"/>
  <c r="I60" i="14" l="1"/>
  <c r="N58" i="1"/>
  <c r="S58" i="1"/>
  <c r="O171" i="10"/>
  <c r="P171" i="10" s="1"/>
  <c r="T171" i="10"/>
  <c r="U171" i="10" s="1"/>
  <c r="O58" i="1" s="1"/>
  <c r="J60" i="14" s="1"/>
  <c r="H58" i="1"/>
  <c r="G171" i="10"/>
  <c r="H171" i="10" s="1"/>
  <c r="I171" i="10" s="1"/>
  <c r="I58" i="1" s="1"/>
  <c r="C60" i="14" s="1"/>
  <c r="X171" i="10"/>
  <c r="K58" i="1" s="1"/>
  <c r="G60" i="14" s="1"/>
  <c r="Y171" i="10" l="1"/>
  <c r="V58" i="1" s="1"/>
  <c r="L60" i="14" s="1"/>
  <c r="Q171" i="10"/>
  <c r="R171" i="10" s="1"/>
  <c r="S171" i="10" s="1"/>
  <c r="U58" i="1" s="1"/>
  <c r="T58" i="1"/>
  <c r="K60" i="14"/>
  <c r="F59" i="1"/>
  <c r="W58" i="1"/>
  <c r="Z58" i="1"/>
  <c r="F60" i="14"/>
  <c r="J58" i="1"/>
  <c r="E60" i="14" s="1"/>
  <c r="B172" i="10" l="1"/>
  <c r="L59" i="1"/>
  <c r="D61" i="14"/>
  <c r="H61" i="14" l="1"/>
  <c r="M59" i="1"/>
  <c r="M172" i="10"/>
  <c r="N172" i="10" s="1"/>
  <c r="L172" i="10"/>
  <c r="E172" i="10"/>
  <c r="F172" i="10" s="1"/>
  <c r="G172" i="10" l="1"/>
  <c r="H172" i="10" s="1"/>
  <c r="I172" i="10" s="1"/>
  <c r="I59" i="1" s="1"/>
  <c r="C61" i="14" s="1"/>
  <c r="X172" i="10"/>
  <c r="K59" i="1" s="1"/>
  <c r="G61" i="14" s="1"/>
  <c r="H59" i="1"/>
  <c r="O172" i="10"/>
  <c r="P172" i="10" s="1"/>
  <c r="T172" i="10"/>
  <c r="S59" i="1"/>
  <c r="I61" i="14"/>
  <c r="N59" i="1"/>
  <c r="K61" i="14" l="1"/>
  <c r="F60" i="1"/>
  <c r="J59" i="1"/>
  <c r="E61" i="14" s="1"/>
  <c r="F61" i="14"/>
  <c r="T59" i="1"/>
  <c r="Y172" i="10"/>
  <c r="V59" i="1" s="1"/>
  <c r="L61" i="14" s="1"/>
  <c r="Q172" i="10"/>
  <c r="R172" i="10" s="1"/>
  <c r="S172" i="10" s="1"/>
  <c r="U59" i="1" s="1"/>
  <c r="U172" i="10"/>
  <c r="O59" i="1" s="1"/>
  <c r="J61" i="14" s="1"/>
  <c r="W59" i="1"/>
  <c r="Z59" i="1"/>
  <c r="B173" i="10" l="1"/>
  <c r="F132" i="1"/>
  <c r="L60" i="1"/>
  <c r="D62" i="14"/>
  <c r="E30" i="12"/>
  <c r="M60" i="1" l="1"/>
  <c r="M173" i="10"/>
  <c r="N173" i="10" s="1"/>
  <c r="H62" i="14"/>
  <c r="L173" i="10"/>
  <c r="E173" i="10"/>
  <c r="F173" i="10" s="1"/>
  <c r="G173" i="10" l="1"/>
  <c r="H173" i="10" s="1"/>
  <c r="I173" i="10" s="1"/>
  <c r="I60" i="1" s="1"/>
  <c r="X173" i="10"/>
  <c r="K60" i="1" s="1"/>
  <c r="H60" i="1"/>
  <c r="O173" i="10"/>
  <c r="P173" i="10" s="1"/>
  <c r="S60" i="1"/>
  <c r="T173" i="10"/>
  <c r="N60" i="1"/>
  <c r="I62" i="14"/>
  <c r="U173" i="10" l="1"/>
  <c r="O60" i="1" s="1"/>
  <c r="J62" i="14" s="1"/>
  <c r="T60" i="1"/>
  <c r="Y173" i="10"/>
  <c r="V60" i="1" s="1"/>
  <c r="L62" i="14" s="1"/>
  <c r="Q173" i="10"/>
  <c r="R173" i="10" s="1"/>
  <c r="S173" i="10" s="1"/>
  <c r="U60" i="1" s="1"/>
  <c r="F61" i="1"/>
  <c r="K62" i="14"/>
  <c r="G62" i="14"/>
  <c r="G30" i="12"/>
  <c r="W60" i="1"/>
  <c r="Z60" i="1"/>
  <c r="H132" i="1"/>
  <c r="J60" i="1"/>
  <c r="E62" i="14" s="1"/>
  <c r="F30" i="12"/>
  <c r="F62" i="14"/>
  <c r="I132" i="1"/>
  <c r="C62" i="14"/>
  <c r="D30" i="12"/>
  <c r="L61" i="1" l="1"/>
  <c r="D63" i="14"/>
  <c r="B174" i="10"/>
  <c r="E174" i="10" l="1"/>
  <c r="F174" i="10" s="1"/>
  <c r="L174" i="10"/>
  <c r="H63" i="14"/>
  <c r="M174" i="10"/>
  <c r="N174" i="10" s="1"/>
  <c r="M61" i="1"/>
  <c r="N61" i="1" l="1"/>
  <c r="I63" i="14"/>
  <c r="O174" i="10"/>
  <c r="P174" i="10" s="1"/>
  <c r="T174" i="10"/>
  <c r="S61" i="1"/>
  <c r="H61" i="1"/>
  <c r="G174" i="10"/>
  <c r="H174" i="10" s="1"/>
  <c r="I174" i="10" s="1"/>
  <c r="I61" i="1" s="1"/>
  <c r="C63" i="14" s="1"/>
  <c r="X174" i="10"/>
  <c r="K61" i="1" s="1"/>
  <c r="G63" i="14" s="1"/>
  <c r="F62" i="1" l="1"/>
  <c r="K63" i="14"/>
  <c r="J61" i="1"/>
  <c r="E63" i="14" s="1"/>
  <c r="F63" i="14"/>
  <c r="T61" i="1"/>
  <c r="Q174" i="10"/>
  <c r="R174" i="10" s="1"/>
  <c r="S174" i="10" s="1"/>
  <c r="U61" i="1" s="1"/>
  <c r="Y174" i="10"/>
  <c r="V61" i="1" s="1"/>
  <c r="L63" i="14" s="1"/>
  <c r="U174" i="10"/>
  <c r="O61" i="1" s="1"/>
  <c r="J63" i="14" s="1"/>
  <c r="W61" i="1"/>
  <c r="Z61" i="1"/>
  <c r="D64" i="14" l="1"/>
  <c r="B175" i="10"/>
  <c r="L62" i="1"/>
  <c r="M175" i="10" l="1"/>
  <c r="N175" i="10" s="1"/>
  <c r="M62" i="1"/>
  <c r="H64" i="14"/>
  <c r="L175" i="10"/>
  <c r="E175" i="10"/>
  <c r="F175" i="10" s="1"/>
  <c r="I64" i="14" l="1"/>
  <c r="N62" i="1"/>
  <c r="H62" i="1"/>
  <c r="G175" i="10"/>
  <c r="H175" i="10" s="1"/>
  <c r="I175" i="10" s="1"/>
  <c r="I62" i="1" s="1"/>
  <c r="C64" i="14" s="1"/>
  <c r="X175" i="10"/>
  <c r="K62" i="1" s="1"/>
  <c r="G64" i="14" s="1"/>
  <c r="T175" i="10"/>
  <c r="S62" i="1"/>
  <c r="O175" i="10"/>
  <c r="P175" i="10" s="1"/>
  <c r="Y175" i="10" l="1"/>
  <c r="V62" i="1" s="1"/>
  <c r="L64" i="14" s="1"/>
  <c r="Q175" i="10"/>
  <c r="R175" i="10" s="1"/>
  <c r="S175" i="10" s="1"/>
  <c r="U62" i="1" s="1"/>
  <c r="T62" i="1"/>
  <c r="K64" i="14"/>
  <c r="F63" i="1"/>
  <c r="U175" i="10"/>
  <c r="O62" i="1" s="1"/>
  <c r="J64" i="14" s="1"/>
  <c r="F64" i="14"/>
  <c r="J62" i="1"/>
  <c r="E64" i="14" s="1"/>
  <c r="W62" i="1"/>
  <c r="Z62" i="1"/>
  <c r="D65" i="14" l="1"/>
  <c r="L63" i="1"/>
  <c r="B176" i="10"/>
  <c r="L176" i="10" l="1"/>
  <c r="E176" i="10"/>
  <c r="F176" i="10" s="1"/>
  <c r="M176" i="10"/>
  <c r="N176" i="10" s="1"/>
  <c r="H65" i="14"/>
  <c r="M63" i="1"/>
  <c r="N63" i="1" l="1"/>
  <c r="I65" i="14"/>
  <c r="S63" i="1"/>
  <c r="O176" i="10"/>
  <c r="P176" i="10" s="1"/>
  <c r="T176" i="10"/>
  <c r="X176" i="10"/>
  <c r="K63" i="1" s="1"/>
  <c r="G65" i="14" s="1"/>
  <c r="G176" i="10"/>
  <c r="H176" i="10" s="1"/>
  <c r="I176" i="10" s="1"/>
  <c r="I63" i="1" s="1"/>
  <c r="C65" i="14" s="1"/>
  <c r="H63" i="1"/>
  <c r="K65" i="14" l="1"/>
  <c r="F64" i="1"/>
  <c r="U176" i="10"/>
  <c r="O63" i="1" s="1"/>
  <c r="J65" i="14" s="1"/>
  <c r="Q176" i="10"/>
  <c r="R176" i="10" s="1"/>
  <c r="S176" i="10" s="1"/>
  <c r="U63" i="1" s="1"/>
  <c r="Y176" i="10"/>
  <c r="V63" i="1" s="1"/>
  <c r="L65" i="14" s="1"/>
  <c r="T63" i="1"/>
  <c r="J63" i="1"/>
  <c r="E65" i="14" s="1"/>
  <c r="F65" i="14"/>
  <c r="W63" i="1"/>
  <c r="Z63" i="1"/>
  <c r="D66" i="14" l="1"/>
  <c r="B177" i="10"/>
  <c r="L64" i="1"/>
  <c r="H66" i="14" l="1"/>
  <c r="M64" i="1"/>
  <c r="M177" i="10"/>
  <c r="N177" i="10" s="1"/>
  <c r="E177" i="10"/>
  <c r="F177" i="10" s="1"/>
  <c r="L177" i="10"/>
  <c r="X177" i="10" l="1"/>
  <c r="K64" i="1" s="1"/>
  <c r="G66" i="14" s="1"/>
  <c r="H64" i="1"/>
  <c r="G177" i="10"/>
  <c r="H177" i="10" s="1"/>
  <c r="I177" i="10" s="1"/>
  <c r="I64" i="1" s="1"/>
  <c r="C66" i="14" s="1"/>
  <c r="T177" i="10"/>
  <c r="S64" i="1"/>
  <c r="O177" i="10"/>
  <c r="P177" i="10" s="1"/>
  <c r="N64" i="1"/>
  <c r="I66" i="14"/>
  <c r="W64" i="1" l="1"/>
  <c r="Z64" i="1"/>
  <c r="K66" i="14"/>
  <c r="F65" i="1"/>
  <c r="U177" i="10"/>
  <c r="O64" i="1" s="1"/>
  <c r="J66" i="14" s="1"/>
  <c r="Y177" i="10"/>
  <c r="V64" i="1" s="1"/>
  <c r="L66" i="14" s="1"/>
  <c r="T64" i="1"/>
  <c r="Q177" i="10"/>
  <c r="R177" i="10" s="1"/>
  <c r="S177" i="10" s="1"/>
  <c r="U64" i="1" s="1"/>
  <c r="J64" i="1"/>
  <c r="E66" i="14" s="1"/>
  <c r="F66" i="14"/>
  <c r="D67" i="14" l="1"/>
  <c r="F133" i="1"/>
  <c r="E31" i="12"/>
  <c r="B178" i="10"/>
  <c r="L65" i="1"/>
  <c r="M65" i="1" l="1"/>
  <c r="M178" i="10"/>
  <c r="N178" i="10" s="1"/>
  <c r="H67" i="14"/>
  <c r="L178" i="10"/>
  <c r="E178" i="10"/>
  <c r="F178" i="10" s="1"/>
  <c r="T178" i="10" l="1"/>
  <c r="U178" i="10" s="1"/>
  <c r="O65" i="1" s="1"/>
  <c r="J67" i="14" s="1"/>
  <c r="S65" i="1"/>
  <c r="O178" i="10"/>
  <c r="P178" i="10" s="1"/>
  <c r="X178" i="10"/>
  <c r="K65" i="1" s="1"/>
  <c r="G178" i="10"/>
  <c r="H178" i="10" s="1"/>
  <c r="I178" i="10" s="1"/>
  <c r="I65" i="1" s="1"/>
  <c r="H65" i="1"/>
  <c r="N65" i="1"/>
  <c r="I67" i="14"/>
  <c r="Z65" i="1" l="1"/>
  <c r="W65" i="1"/>
  <c r="J65" i="1"/>
  <c r="E67" i="14" s="1"/>
  <c r="F67" i="14"/>
  <c r="H133" i="1"/>
  <c r="F31" i="12"/>
  <c r="G67" i="14"/>
  <c r="G31" i="12"/>
  <c r="F66" i="1"/>
  <c r="K67" i="14"/>
  <c r="D31" i="12"/>
  <c r="I133" i="1"/>
  <c r="C67" i="14"/>
  <c r="T65" i="1"/>
  <c r="Q178" i="10"/>
  <c r="R178" i="10" s="1"/>
  <c r="S178" i="10" s="1"/>
  <c r="U65" i="1" s="1"/>
  <c r="Y178" i="10"/>
  <c r="V65" i="1" s="1"/>
  <c r="L67" i="14" s="1"/>
  <c r="X65" i="1" l="1"/>
  <c r="B179" i="10"/>
  <c r="L66" i="1"/>
  <c r="D68" i="14"/>
  <c r="M179" i="10" l="1"/>
  <c r="N179" i="10" s="1"/>
  <c r="M66" i="1"/>
  <c r="H68" i="14"/>
  <c r="L179" i="10"/>
  <c r="E179" i="10"/>
  <c r="F179" i="10" s="1"/>
  <c r="H66" i="1" l="1"/>
  <c r="G179" i="10"/>
  <c r="H179" i="10" s="1"/>
  <c r="I179" i="10" s="1"/>
  <c r="I66" i="1" s="1"/>
  <c r="C68" i="14" s="1"/>
  <c r="X179" i="10"/>
  <c r="K66" i="1" s="1"/>
  <c r="G68" i="14" s="1"/>
  <c r="N66" i="1"/>
  <c r="I68" i="14"/>
  <c r="O179" i="10"/>
  <c r="P179" i="10" s="1"/>
  <c r="S66" i="1"/>
  <c r="T179" i="10"/>
  <c r="U179" i="10" s="1"/>
  <c r="O66" i="1" s="1"/>
  <c r="J68" i="14" s="1"/>
  <c r="Z66" i="1" l="1"/>
  <c r="W66" i="1"/>
  <c r="K68" i="14"/>
  <c r="F67" i="1"/>
  <c r="Y179" i="10"/>
  <c r="V66" i="1" s="1"/>
  <c r="L68" i="14" s="1"/>
  <c r="T66" i="1"/>
  <c r="Q179" i="10"/>
  <c r="R179" i="10" s="1"/>
  <c r="S179" i="10" s="1"/>
  <c r="U66" i="1" s="1"/>
  <c r="J66" i="1"/>
  <c r="E68" i="14" s="1"/>
  <c r="F68" i="14"/>
  <c r="X66" i="1" l="1"/>
  <c r="D69" i="14"/>
  <c r="B180" i="10"/>
  <c r="L67" i="1"/>
  <c r="H69" i="14" l="1"/>
  <c r="M180" i="10"/>
  <c r="N180" i="10" s="1"/>
  <c r="M67" i="1"/>
  <c r="E180" i="10"/>
  <c r="F180" i="10" s="1"/>
  <c r="L180" i="10"/>
  <c r="X180" i="10" l="1"/>
  <c r="K67" i="1" s="1"/>
  <c r="G69" i="14" s="1"/>
  <c r="H67" i="1"/>
  <c r="G180" i="10"/>
  <c r="H180" i="10" s="1"/>
  <c r="I180" i="10" s="1"/>
  <c r="I67" i="1" s="1"/>
  <c r="C69" i="14" s="1"/>
  <c r="T180" i="10"/>
  <c r="O180" i="10"/>
  <c r="P180" i="10" s="1"/>
  <c r="S67" i="1"/>
  <c r="I69" i="14"/>
  <c r="N67" i="1"/>
  <c r="Z67" i="1" l="1"/>
  <c r="W67" i="1"/>
  <c r="K69" i="14"/>
  <c r="F68" i="1"/>
  <c r="U180" i="10"/>
  <c r="O67" i="1" s="1"/>
  <c r="J69" i="14" s="1"/>
  <c r="T67" i="1"/>
  <c r="Y180" i="10"/>
  <c r="V67" i="1" s="1"/>
  <c r="L69" i="14" s="1"/>
  <c r="Q180" i="10"/>
  <c r="R180" i="10" s="1"/>
  <c r="S180" i="10" s="1"/>
  <c r="U67" i="1" s="1"/>
  <c r="J67" i="1"/>
  <c r="E69" i="14" s="1"/>
  <c r="F69" i="14"/>
  <c r="L68" i="1" l="1"/>
  <c r="D70" i="14"/>
  <c r="B181" i="10"/>
  <c r="L181" i="10" l="1"/>
  <c r="E181" i="10"/>
  <c r="F181" i="10" s="1"/>
  <c r="H70" i="14"/>
  <c r="M181" i="10"/>
  <c r="N181" i="10" s="1"/>
  <c r="M68" i="1"/>
  <c r="I70" i="14" l="1"/>
  <c r="N68" i="1"/>
  <c r="O181" i="10"/>
  <c r="P181" i="10" s="1"/>
  <c r="S68" i="1"/>
  <c r="T181" i="10"/>
  <c r="G181" i="10"/>
  <c r="H181" i="10" s="1"/>
  <c r="I181" i="10" s="1"/>
  <c r="I68" i="1" s="1"/>
  <c r="C70" i="14" s="1"/>
  <c r="H68" i="1"/>
  <c r="X181" i="10"/>
  <c r="K68" i="1" s="1"/>
  <c r="G70" i="14" s="1"/>
  <c r="Y181" i="10" l="1"/>
  <c r="V68" i="1" s="1"/>
  <c r="L70" i="14" s="1"/>
  <c r="Q181" i="10"/>
  <c r="R181" i="10" s="1"/>
  <c r="S181" i="10" s="1"/>
  <c r="U68" i="1" s="1"/>
  <c r="T68" i="1"/>
  <c r="F69" i="1"/>
  <c r="K70" i="14"/>
  <c r="J68" i="1"/>
  <c r="E70" i="14" s="1"/>
  <c r="F70" i="14"/>
  <c r="U181" i="10"/>
  <c r="O68" i="1" s="1"/>
  <c r="J70" i="14" s="1"/>
  <c r="W68" i="1"/>
  <c r="Z68" i="1"/>
  <c r="D71" i="14" l="1"/>
  <c r="B182" i="10"/>
  <c r="L69" i="1"/>
  <c r="E182" i="10" l="1"/>
  <c r="F182" i="10" s="1"/>
  <c r="L182" i="10"/>
  <c r="H71" i="14"/>
  <c r="M69" i="1"/>
  <c r="M182" i="10"/>
  <c r="N182" i="10" s="1"/>
  <c r="N69" i="1" l="1"/>
  <c r="I71" i="14"/>
  <c r="T182" i="10"/>
  <c r="S69" i="1"/>
  <c r="O182" i="10"/>
  <c r="P182" i="10" s="1"/>
  <c r="H69" i="1"/>
  <c r="X182" i="10"/>
  <c r="K69" i="1" s="1"/>
  <c r="G71" i="14" s="1"/>
  <c r="G182" i="10"/>
  <c r="H182" i="10" s="1"/>
  <c r="I182" i="10" s="1"/>
  <c r="I69" i="1" s="1"/>
  <c r="C71" i="14" s="1"/>
  <c r="K71" i="14" l="1"/>
  <c r="F70" i="1"/>
  <c r="U182" i="10"/>
  <c r="O69" i="1" s="1"/>
  <c r="J71" i="14" s="1"/>
  <c r="Y182" i="10"/>
  <c r="V69" i="1" s="1"/>
  <c r="L71" i="14" s="1"/>
  <c r="Q182" i="10"/>
  <c r="R182" i="10" s="1"/>
  <c r="S182" i="10" s="1"/>
  <c r="U69" i="1" s="1"/>
  <c r="T69" i="1"/>
  <c r="J69" i="1"/>
  <c r="E71" i="14" s="1"/>
  <c r="F71" i="14"/>
  <c r="Z69" i="1"/>
  <c r="W69" i="1"/>
  <c r="L70" i="1" l="1"/>
  <c r="F134" i="1"/>
  <c r="B183" i="10"/>
  <c r="E32" i="12"/>
  <c r="D72" i="14"/>
  <c r="E183" i="10" l="1"/>
  <c r="F183" i="10" s="1"/>
  <c r="L183" i="10"/>
  <c r="M70" i="1"/>
  <c r="H72" i="14"/>
  <c r="M183" i="10"/>
  <c r="N183" i="10" s="1"/>
  <c r="S70" i="1" l="1"/>
  <c r="T183" i="10"/>
  <c r="O183" i="10"/>
  <c r="P183" i="10" s="1"/>
  <c r="G183" i="10"/>
  <c r="H183" i="10" s="1"/>
  <c r="I183" i="10" s="1"/>
  <c r="I70" i="1" s="1"/>
  <c r="X183" i="10"/>
  <c r="K70" i="1" s="1"/>
  <c r="H70" i="1"/>
  <c r="N70" i="1"/>
  <c r="I72" i="14"/>
  <c r="G32" i="12" l="1"/>
  <c r="G72" i="14"/>
  <c r="D32" i="12"/>
  <c r="C72" i="14"/>
  <c r="I134" i="1"/>
  <c r="U183" i="10"/>
  <c r="O70" i="1" s="1"/>
  <c r="J72" i="14" s="1"/>
  <c r="T70" i="1"/>
  <c r="Y183" i="10"/>
  <c r="V70" i="1" s="1"/>
  <c r="L72" i="14" s="1"/>
  <c r="Q183" i="10"/>
  <c r="R183" i="10" s="1"/>
  <c r="S183" i="10" s="1"/>
  <c r="U70" i="1" s="1"/>
  <c r="Z70" i="1"/>
  <c r="W70" i="1"/>
  <c r="J70" i="1"/>
  <c r="E72" i="14" s="1"/>
  <c r="F32" i="12"/>
  <c r="H134" i="1"/>
  <c r="F72" i="14"/>
  <c r="F71" i="1"/>
  <c r="K72" i="14"/>
  <c r="D73" i="14" l="1"/>
  <c r="L71" i="1"/>
  <c r="B184" i="10"/>
  <c r="H73" i="14" l="1"/>
  <c r="M71" i="1"/>
  <c r="M184" i="10"/>
  <c r="N184" i="10" s="1"/>
  <c r="E184" i="10"/>
  <c r="F184" i="10" s="1"/>
  <c r="L184" i="10"/>
  <c r="G184" i="10" l="1"/>
  <c r="H184" i="10" s="1"/>
  <c r="I184" i="10" s="1"/>
  <c r="I71" i="1" s="1"/>
  <c r="C73" i="14" s="1"/>
  <c r="H71" i="1"/>
  <c r="X184" i="10"/>
  <c r="K71" i="1" s="1"/>
  <c r="G73" i="14" s="1"/>
  <c r="N71" i="1"/>
  <c r="I73" i="14"/>
  <c r="S71" i="1"/>
  <c r="T184" i="10"/>
  <c r="O184" i="10"/>
  <c r="P184" i="10" s="1"/>
  <c r="Q184" i="10" l="1"/>
  <c r="R184" i="10" s="1"/>
  <c r="S184" i="10" s="1"/>
  <c r="U71" i="1" s="1"/>
  <c r="Y184" i="10"/>
  <c r="V71" i="1" s="1"/>
  <c r="L73" i="14" s="1"/>
  <c r="T71" i="1"/>
  <c r="W71" i="1"/>
  <c r="Z71" i="1"/>
  <c r="J71" i="1"/>
  <c r="E73" i="14" s="1"/>
  <c r="F73" i="14"/>
  <c r="F72" i="1"/>
  <c r="K73" i="14"/>
  <c r="U184" i="10"/>
  <c r="O71" i="1" s="1"/>
  <c r="J73" i="14" s="1"/>
  <c r="B185" i="10" l="1"/>
  <c r="D74" i="14"/>
  <c r="L72" i="1"/>
  <c r="H74" i="14" l="1"/>
  <c r="M72" i="1"/>
  <c r="M185" i="10"/>
  <c r="N185" i="10" s="1"/>
  <c r="L185" i="10"/>
  <c r="E185" i="10"/>
  <c r="F185" i="10" s="1"/>
  <c r="S72" i="1" l="1"/>
  <c r="O185" i="10"/>
  <c r="P185" i="10" s="1"/>
  <c r="T185" i="10"/>
  <c r="I74" i="14"/>
  <c r="N72" i="1"/>
  <c r="X185" i="10"/>
  <c r="K72" i="1" s="1"/>
  <c r="G74" i="14" s="1"/>
  <c r="G185" i="10"/>
  <c r="H185" i="10" s="1"/>
  <c r="I185" i="10" s="1"/>
  <c r="I72" i="1" s="1"/>
  <c r="C74" i="14" s="1"/>
  <c r="H72" i="1"/>
  <c r="J72" i="1" l="1"/>
  <c r="E74" i="14" s="1"/>
  <c r="F74" i="14"/>
  <c r="W72" i="1"/>
  <c r="Z72" i="1"/>
  <c r="Y185" i="10"/>
  <c r="V72" i="1" s="1"/>
  <c r="L74" i="14" s="1"/>
  <c r="T72" i="1"/>
  <c r="Q185" i="10"/>
  <c r="R185" i="10" s="1"/>
  <c r="S185" i="10" s="1"/>
  <c r="U72" i="1" s="1"/>
  <c r="U185" i="10"/>
  <c r="O72" i="1" s="1"/>
  <c r="J74" i="14" s="1"/>
  <c r="K74" i="14"/>
  <c r="F73" i="1"/>
  <c r="D75" i="14" l="1"/>
  <c r="B186" i="10"/>
  <c r="L73" i="1"/>
  <c r="M73" i="1" l="1"/>
  <c r="M186" i="10"/>
  <c r="N186" i="10" s="1"/>
  <c r="H75" i="14"/>
  <c r="E186" i="10"/>
  <c r="F186" i="10" s="1"/>
  <c r="L186" i="10"/>
  <c r="T186" i="10" l="1"/>
  <c r="U186" i="10" s="1"/>
  <c r="O73" i="1" s="1"/>
  <c r="J75" i="14" s="1"/>
  <c r="S73" i="1"/>
  <c r="O186" i="10"/>
  <c r="P186" i="10" s="1"/>
  <c r="H73" i="1"/>
  <c r="X186" i="10"/>
  <c r="K73" i="1" s="1"/>
  <c r="G75" i="14" s="1"/>
  <c r="G186" i="10"/>
  <c r="H186" i="10" s="1"/>
  <c r="I186" i="10" s="1"/>
  <c r="I73" i="1" s="1"/>
  <c r="C75" i="14" s="1"/>
  <c r="N73" i="1"/>
  <c r="I75" i="14"/>
  <c r="J73" i="1" l="1"/>
  <c r="E75" i="14" s="1"/>
  <c r="F75" i="14"/>
  <c r="F74" i="1"/>
  <c r="K75" i="14"/>
  <c r="Z73" i="1"/>
  <c r="W73" i="1"/>
  <c r="T73" i="1"/>
  <c r="Q186" i="10"/>
  <c r="R186" i="10" s="1"/>
  <c r="S186" i="10" s="1"/>
  <c r="U73" i="1" s="1"/>
  <c r="Y186" i="10"/>
  <c r="V73" i="1" s="1"/>
  <c r="L75" i="14" s="1"/>
  <c r="L74" i="1" l="1"/>
  <c r="D76" i="14"/>
  <c r="B187" i="10"/>
  <c r="E187" i="10" l="1"/>
  <c r="F187" i="10" s="1"/>
  <c r="L187" i="10"/>
  <c r="M187" i="10"/>
  <c r="N187" i="10" s="1"/>
  <c r="H76" i="14"/>
  <c r="M74" i="1"/>
  <c r="N74" i="1" l="1"/>
  <c r="I76" i="14"/>
  <c r="G187" i="10"/>
  <c r="H187" i="10" s="1"/>
  <c r="I187" i="10" s="1"/>
  <c r="I74" i="1" s="1"/>
  <c r="C76" i="14" s="1"/>
  <c r="H74" i="1"/>
  <c r="X187" i="10"/>
  <c r="K74" i="1" s="1"/>
  <c r="G76" i="14" s="1"/>
  <c r="O187" i="10"/>
  <c r="P187" i="10" s="1"/>
  <c r="S74" i="1"/>
  <c r="T187" i="10"/>
  <c r="J74" i="1" l="1"/>
  <c r="E76" i="14" s="1"/>
  <c r="F76" i="14"/>
  <c r="U187" i="10"/>
  <c r="O74" i="1" s="1"/>
  <c r="J76" i="14" s="1"/>
  <c r="Y187" i="10"/>
  <c r="V74" i="1" s="1"/>
  <c r="L76" i="14" s="1"/>
  <c r="T74" i="1"/>
  <c r="Q187" i="10"/>
  <c r="R187" i="10" s="1"/>
  <c r="S187" i="10" s="1"/>
  <c r="U74" i="1" s="1"/>
  <c r="K76" i="14"/>
  <c r="F75" i="1"/>
  <c r="Z74" i="1"/>
  <c r="W74" i="1"/>
  <c r="X74" i="1" s="1"/>
  <c r="F135" i="1" l="1"/>
  <c r="B188" i="10"/>
  <c r="E33" i="12"/>
  <c r="D77" i="14"/>
  <c r="L75" i="1"/>
  <c r="L188" i="10" l="1"/>
  <c r="E188" i="10"/>
  <c r="F188" i="10" s="1"/>
  <c r="H77" i="14"/>
  <c r="M188" i="10"/>
  <c r="N188" i="10" s="1"/>
  <c r="M75" i="1"/>
  <c r="I77" i="14" l="1"/>
  <c r="N75" i="1"/>
  <c r="O188" i="10"/>
  <c r="P188" i="10" s="1"/>
  <c r="S75" i="1"/>
  <c r="T188" i="10"/>
  <c r="H75" i="1"/>
  <c r="X188" i="10"/>
  <c r="K75" i="1" s="1"/>
  <c r="G188" i="10"/>
  <c r="H188" i="10" s="1"/>
  <c r="I188" i="10" s="1"/>
  <c r="I75" i="1" s="1"/>
  <c r="D33" i="12" l="1"/>
  <c r="I135" i="1"/>
  <c r="C77" i="14"/>
  <c r="W75" i="1"/>
  <c r="X75" i="1" s="1"/>
  <c r="Z75" i="1"/>
  <c r="G77" i="14"/>
  <c r="G33" i="12"/>
  <c r="H135" i="1"/>
  <c r="F77" i="14"/>
  <c r="J75" i="1"/>
  <c r="E77" i="14" s="1"/>
  <c r="F33" i="12"/>
  <c r="T75" i="1"/>
  <c r="Q188" i="10"/>
  <c r="R188" i="10" s="1"/>
  <c r="S188" i="10" s="1"/>
  <c r="U75" i="1" s="1"/>
  <c r="Y188" i="10"/>
  <c r="V75" i="1" s="1"/>
  <c r="L77" i="14" s="1"/>
  <c r="K77" i="14"/>
  <c r="F76" i="1"/>
  <c r="U188" i="10"/>
  <c r="O75" i="1" s="1"/>
  <c r="J77" i="14" s="1"/>
  <c r="D78" i="14" l="1"/>
  <c r="L76" i="1"/>
  <c r="B189" i="10"/>
  <c r="H78" i="14" l="1"/>
  <c r="M76" i="1"/>
  <c r="M189" i="10"/>
  <c r="N189" i="10" s="1"/>
  <c r="E189" i="10"/>
  <c r="F189" i="10" s="1"/>
  <c r="L189" i="10"/>
  <c r="T189" i="10" l="1"/>
  <c r="U189" i="10" s="1"/>
  <c r="O76" i="1" s="1"/>
  <c r="J78" i="14" s="1"/>
  <c r="O189" i="10"/>
  <c r="P189" i="10" s="1"/>
  <c r="S76" i="1"/>
  <c r="X189" i="10"/>
  <c r="K76" i="1" s="1"/>
  <c r="G78" i="14" s="1"/>
  <c r="H76" i="1"/>
  <c r="G189" i="10"/>
  <c r="H189" i="10" s="1"/>
  <c r="I189" i="10" s="1"/>
  <c r="I76" i="1" s="1"/>
  <c r="C78" i="14" s="1"/>
  <c r="I78" i="14"/>
  <c r="N76" i="1"/>
  <c r="J76" i="1" l="1"/>
  <c r="E78" i="14" s="1"/>
  <c r="F78" i="14"/>
  <c r="K78" i="14"/>
  <c r="F77" i="1"/>
  <c r="W76" i="1"/>
  <c r="X76" i="1" s="1"/>
  <c r="Z76" i="1"/>
  <c r="Q189" i="10"/>
  <c r="R189" i="10" s="1"/>
  <c r="S189" i="10" s="1"/>
  <c r="U76" i="1" s="1"/>
  <c r="Y189" i="10"/>
  <c r="V76" i="1" s="1"/>
  <c r="L78" i="14" s="1"/>
  <c r="T76" i="1"/>
  <c r="D79" i="14" l="1"/>
  <c r="B190" i="10"/>
  <c r="L77" i="1"/>
  <c r="M77" i="1" l="1"/>
  <c r="M190" i="10"/>
  <c r="N190" i="10" s="1"/>
  <c r="H79" i="14"/>
  <c r="E190" i="10"/>
  <c r="F190" i="10" s="1"/>
  <c r="L190" i="10"/>
  <c r="X190" i="10" l="1"/>
  <c r="K77" i="1" s="1"/>
  <c r="G79" i="14" s="1"/>
  <c r="G190" i="10"/>
  <c r="H190" i="10" s="1"/>
  <c r="I190" i="10" s="1"/>
  <c r="I77" i="1" s="1"/>
  <c r="C79" i="14" s="1"/>
  <c r="H77" i="1"/>
  <c r="O190" i="10"/>
  <c r="P190" i="10" s="1"/>
  <c r="T190" i="10"/>
  <c r="S77" i="1"/>
  <c r="I79" i="14"/>
  <c r="N77" i="1"/>
  <c r="K79" i="14" l="1"/>
  <c r="F78" i="1"/>
  <c r="Y190" i="10"/>
  <c r="V77" i="1" s="1"/>
  <c r="L79" i="14" s="1"/>
  <c r="Q190" i="10"/>
  <c r="R190" i="10" s="1"/>
  <c r="S190" i="10" s="1"/>
  <c r="U77" i="1" s="1"/>
  <c r="T77" i="1"/>
  <c r="U190" i="10"/>
  <c r="O77" i="1" s="1"/>
  <c r="J79" i="14" s="1"/>
  <c r="F79" i="14"/>
  <c r="J77" i="1"/>
  <c r="E79" i="14" s="1"/>
  <c r="Z77" i="1"/>
  <c r="W77" i="1"/>
  <c r="X77" i="1" s="1"/>
  <c r="L78" i="1" l="1"/>
  <c r="B191" i="10"/>
  <c r="D80" i="14"/>
  <c r="E191" i="10" l="1"/>
  <c r="F191" i="10" s="1"/>
  <c r="L191" i="10"/>
  <c r="M78" i="1"/>
  <c r="H80" i="14"/>
  <c r="M191" i="10"/>
  <c r="N191" i="10" s="1"/>
  <c r="X191" i="10" l="1"/>
  <c r="K78" i="1" s="1"/>
  <c r="G80" i="14" s="1"/>
  <c r="H78" i="1"/>
  <c r="G191" i="10"/>
  <c r="H191" i="10" s="1"/>
  <c r="I191" i="10" s="1"/>
  <c r="I78" i="1" s="1"/>
  <c r="C80" i="14" s="1"/>
  <c r="O191" i="10"/>
  <c r="P191" i="10" s="1"/>
  <c r="T191" i="10"/>
  <c r="U191" i="10" s="1"/>
  <c r="O78" i="1" s="1"/>
  <c r="J80" i="14" s="1"/>
  <c r="S78" i="1"/>
  <c r="N78" i="1"/>
  <c r="I80" i="14"/>
  <c r="F79" i="1" l="1"/>
  <c r="K80" i="14"/>
  <c r="Z78" i="1"/>
  <c r="W78" i="1"/>
  <c r="J78" i="1"/>
  <c r="E80" i="14" s="1"/>
  <c r="F80" i="14"/>
  <c r="T78" i="1"/>
  <c r="Q191" i="10"/>
  <c r="R191" i="10" s="1"/>
  <c r="S191" i="10" s="1"/>
  <c r="U78" i="1" s="1"/>
  <c r="Y191" i="10"/>
  <c r="V78" i="1" s="1"/>
  <c r="L80" i="14" s="1"/>
  <c r="D81" i="14" l="1"/>
  <c r="B192" i="10"/>
  <c r="L79" i="1"/>
  <c r="H81" i="14" l="1"/>
  <c r="M192" i="10"/>
  <c r="N192" i="10" s="1"/>
  <c r="M79" i="1"/>
  <c r="E192" i="10"/>
  <c r="F192" i="10" s="1"/>
  <c r="L192" i="10"/>
  <c r="O192" i="10" l="1"/>
  <c r="P192" i="10" s="1"/>
  <c r="S79" i="1"/>
  <c r="T192" i="10"/>
  <c r="G192" i="10"/>
  <c r="H192" i="10" s="1"/>
  <c r="I192" i="10" s="1"/>
  <c r="I79" i="1" s="1"/>
  <c r="C81" i="14" s="1"/>
  <c r="H79" i="1"/>
  <c r="X192" i="10"/>
  <c r="K79" i="1" s="1"/>
  <c r="G81" i="14" s="1"/>
  <c r="N79" i="1"/>
  <c r="I81" i="14"/>
  <c r="Z79" i="1" l="1"/>
  <c r="W79" i="1"/>
  <c r="K81" i="14"/>
  <c r="F80" i="1"/>
  <c r="F81" i="14"/>
  <c r="J79" i="1"/>
  <c r="E81" i="14" s="1"/>
  <c r="U192" i="10"/>
  <c r="O79" i="1" s="1"/>
  <c r="J81" i="14" s="1"/>
  <c r="T79" i="1"/>
  <c r="Y192" i="10"/>
  <c r="V79" i="1" s="1"/>
  <c r="L81" i="14" s="1"/>
  <c r="Q192" i="10"/>
  <c r="R192" i="10" s="1"/>
  <c r="S192" i="10" s="1"/>
  <c r="U79" i="1" s="1"/>
  <c r="L80" i="1" l="1"/>
  <c r="B193" i="10"/>
  <c r="E34" i="12"/>
  <c r="D82" i="14"/>
  <c r="F136" i="1"/>
  <c r="L193" i="10" l="1"/>
  <c r="E193" i="10"/>
  <c r="F193" i="10" s="1"/>
  <c r="M193" i="10"/>
  <c r="N193" i="10" s="1"/>
  <c r="H82" i="14"/>
  <c r="M80" i="1"/>
  <c r="N80" i="1" l="1"/>
  <c r="I82" i="14"/>
  <c r="O193" i="10"/>
  <c r="P193" i="10" s="1"/>
  <c r="T193" i="10"/>
  <c r="S80" i="1"/>
  <c r="X193" i="10"/>
  <c r="K80" i="1" s="1"/>
  <c r="G193" i="10"/>
  <c r="H193" i="10" s="1"/>
  <c r="I193" i="10" s="1"/>
  <c r="I80" i="1" s="1"/>
  <c r="H80" i="1"/>
  <c r="F81" i="1" l="1"/>
  <c r="K82" i="14"/>
  <c r="J80" i="1"/>
  <c r="E82" i="14" s="1"/>
  <c r="H136" i="1"/>
  <c r="F82" i="14"/>
  <c r="F34" i="12"/>
  <c r="G34" i="12"/>
  <c r="G82" i="14"/>
  <c r="U193" i="10"/>
  <c r="O80" i="1" s="1"/>
  <c r="J82" i="14" s="1"/>
  <c r="Q193" i="10"/>
  <c r="R193" i="10" s="1"/>
  <c r="S193" i="10" s="1"/>
  <c r="U80" i="1" s="1"/>
  <c r="T80" i="1"/>
  <c r="Y193" i="10"/>
  <c r="V80" i="1" s="1"/>
  <c r="L82" i="14" s="1"/>
  <c r="I136" i="1"/>
  <c r="D34" i="12"/>
  <c r="C82" i="14"/>
  <c r="Z80" i="1"/>
  <c r="W80" i="1"/>
  <c r="X80" i="1" s="1"/>
  <c r="B194" i="10" l="1"/>
  <c r="L81" i="1"/>
  <c r="D83" i="14"/>
  <c r="H83" i="14" l="1"/>
  <c r="M194" i="10"/>
  <c r="N194" i="10" s="1"/>
  <c r="M81" i="1"/>
  <c r="E194" i="10"/>
  <c r="F194" i="10" s="1"/>
  <c r="L194" i="10"/>
  <c r="X194" i="10" l="1"/>
  <c r="K81" i="1" s="1"/>
  <c r="G83" i="14" s="1"/>
  <c r="G194" i="10"/>
  <c r="H194" i="10" s="1"/>
  <c r="I194" i="10" s="1"/>
  <c r="I81" i="1" s="1"/>
  <c r="C83" i="14" s="1"/>
  <c r="H81" i="1"/>
  <c r="T194" i="10"/>
  <c r="S81" i="1"/>
  <c r="O194" i="10"/>
  <c r="P194" i="10" s="1"/>
  <c r="I83" i="14"/>
  <c r="N81" i="1"/>
  <c r="W81" i="1" l="1"/>
  <c r="Z81" i="1"/>
  <c r="K83" i="14"/>
  <c r="F82" i="1"/>
  <c r="J81" i="1"/>
  <c r="E83" i="14" s="1"/>
  <c r="F83" i="14"/>
  <c r="U194" i="10"/>
  <c r="O81" i="1" s="1"/>
  <c r="J83" i="14" s="1"/>
  <c r="Y194" i="10"/>
  <c r="V81" i="1" s="1"/>
  <c r="L83" i="14" s="1"/>
  <c r="Q194" i="10"/>
  <c r="R194" i="10" s="1"/>
  <c r="S194" i="10" s="1"/>
  <c r="U81" i="1" s="1"/>
  <c r="T81" i="1"/>
  <c r="D84" i="14" l="1"/>
  <c r="L82" i="1"/>
  <c r="B195" i="10"/>
  <c r="L195" i="10" l="1"/>
  <c r="E195" i="10"/>
  <c r="F195" i="10" s="1"/>
  <c r="M195" i="10"/>
  <c r="N195" i="10" s="1"/>
  <c r="H84" i="14"/>
  <c r="M82" i="1"/>
  <c r="I84" i="14" l="1"/>
  <c r="N82" i="1"/>
  <c r="T195" i="10"/>
  <c r="O195" i="10"/>
  <c r="P195" i="10" s="1"/>
  <c r="S82" i="1"/>
  <c r="X195" i="10"/>
  <c r="K82" i="1" s="1"/>
  <c r="G84" i="14" s="1"/>
  <c r="G195" i="10"/>
  <c r="H195" i="10" s="1"/>
  <c r="I195" i="10" s="1"/>
  <c r="I82" i="1" s="1"/>
  <c r="C84" i="14" s="1"/>
  <c r="H82" i="1"/>
  <c r="K84" i="14" l="1"/>
  <c r="F83" i="1"/>
  <c r="J82" i="1"/>
  <c r="E84" i="14" s="1"/>
  <c r="F84" i="14"/>
  <c r="T82" i="1"/>
  <c r="Q195" i="10"/>
  <c r="R195" i="10" s="1"/>
  <c r="S195" i="10" s="1"/>
  <c r="U82" i="1" s="1"/>
  <c r="Y195" i="10"/>
  <c r="V82" i="1" s="1"/>
  <c r="L84" i="14" s="1"/>
  <c r="W82" i="1"/>
  <c r="Z82" i="1"/>
  <c r="U195" i="10"/>
  <c r="O82" i="1" s="1"/>
  <c r="J84" i="14" s="1"/>
  <c r="D85" i="14" l="1"/>
  <c r="B196" i="10"/>
  <c r="L83" i="1"/>
  <c r="L196" i="10" l="1"/>
  <c r="E196" i="10"/>
  <c r="F196" i="10" s="1"/>
  <c r="M196" i="10"/>
  <c r="N196" i="10" s="1"/>
  <c r="M83" i="1"/>
  <c r="H85" i="14"/>
  <c r="I85" i="14" l="1"/>
  <c r="N83" i="1"/>
  <c r="S83" i="1"/>
  <c r="T196" i="10"/>
  <c r="O196" i="10"/>
  <c r="P196" i="10" s="1"/>
  <c r="H83" i="1"/>
  <c r="X196" i="10"/>
  <c r="K83" i="1" s="1"/>
  <c r="G85" i="14" s="1"/>
  <c r="G196" i="10"/>
  <c r="H196" i="10" s="1"/>
  <c r="I196" i="10" s="1"/>
  <c r="I83" i="1" s="1"/>
  <c r="C85" i="14" s="1"/>
  <c r="U196" i="10" l="1"/>
  <c r="O83" i="1" s="1"/>
  <c r="J85" i="14" s="1"/>
  <c r="Q196" i="10"/>
  <c r="R196" i="10" s="1"/>
  <c r="S196" i="10" s="1"/>
  <c r="U83" i="1" s="1"/>
  <c r="T83" i="1"/>
  <c r="Y196" i="10"/>
  <c r="V83" i="1" s="1"/>
  <c r="L85" i="14" s="1"/>
  <c r="K85" i="14"/>
  <c r="F84" i="1"/>
  <c r="Z83" i="1"/>
  <c r="W83" i="1"/>
  <c r="X83" i="1" s="1"/>
  <c r="F85" i="14"/>
  <c r="J83" i="1"/>
  <c r="E85" i="14" s="1"/>
  <c r="D86" i="14" l="1"/>
  <c r="L84" i="1"/>
  <c r="B197" i="10"/>
  <c r="H86" i="14" l="1"/>
  <c r="M84" i="1"/>
  <c r="M197" i="10"/>
  <c r="N197" i="10" s="1"/>
  <c r="E197" i="10"/>
  <c r="F197" i="10" s="1"/>
  <c r="L197" i="10"/>
  <c r="N84" i="1" l="1"/>
  <c r="I86" i="14"/>
  <c r="G197" i="10"/>
  <c r="H197" i="10" s="1"/>
  <c r="I197" i="10" s="1"/>
  <c r="I84" i="1" s="1"/>
  <c r="C86" i="14" s="1"/>
  <c r="X197" i="10"/>
  <c r="K84" i="1" s="1"/>
  <c r="G86" i="14" s="1"/>
  <c r="H84" i="1"/>
  <c r="O197" i="10"/>
  <c r="P197" i="10" s="1"/>
  <c r="S84" i="1"/>
  <c r="T197" i="10"/>
  <c r="J84" i="1" l="1"/>
  <c r="E86" i="14" s="1"/>
  <c r="F86" i="14"/>
  <c r="U197" i="10"/>
  <c r="O84" i="1" s="1"/>
  <c r="J86" i="14" s="1"/>
  <c r="Q197" i="10"/>
  <c r="R197" i="10" s="1"/>
  <c r="S197" i="10" s="1"/>
  <c r="U84" i="1" s="1"/>
  <c r="T84" i="1"/>
  <c r="Y197" i="10"/>
  <c r="V84" i="1" s="1"/>
  <c r="L86" i="14" s="1"/>
  <c r="F85" i="1"/>
  <c r="K86" i="14"/>
  <c r="Z84" i="1"/>
  <c r="W84" i="1"/>
  <c r="E35" i="12" l="1"/>
  <c r="L85" i="1"/>
  <c r="F137" i="1"/>
  <c r="B198" i="10"/>
  <c r="D87" i="14"/>
  <c r="E198" i="10" l="1"/>
  <c r="F198" i="10" s="1"/>
  <c r="L198" i="10"/>
  <c r="H87" i="14"/>
  <c r="M198" i="10"/>
  <c r="N198" i="10" s="1"/>
  <c r="M85" i="1"/>
  <c r="N85" i="1" l="1"/>
  <c r="I87" i="14"/>
  <c r="T198" i="10"/>
  <c r="U198" i="10" s="1"/>
  <c r="O85" i="1" s="1"/>
  <c r="J87" i="14" s="1"/>
  <c r="S85" i="1"/>
  <c r="O198" i="10"/>
  <c r="P198" i="10" s="1"/>
  <c r="H85" i="1"/>
  <c r="X198" i="10"/>
  <c r="K85" i="1" s="1"/>
  <c r="G198" i="10"/>
  <c r="H198" i="10" s="1"/>
  <c r="I198" i="10" s="1"/>
  <c r="I85" i="1" s="1"/>
  <c r="D35" i="12" l="1"/>
  <c r="C87" i="14"/>
  <c r="I137" i="1"/>
  <c r="F86" i="1"/>
  <c r="K87" i="14"/>
  <c r="G87" i="14"/>
  <c r="G35" i="12"/>
  <c r="F87" i="14"/>
  <c r="H137" i="1"/>
  <c r="J85" i="1"/>
  <c r="E87" i="14" s="1"/>
  <c r="F35" i="12"/>
  <c r="Q198" i="10"/>
  <c r="R198" i="10" s="1"/>
  <c r="S198" i="10" s="1"/>
  <c r="U85" i="1" s="1"/>
  <c r="Y198" i="10"/>
  <c r="V85" i="1" s="1"/>
  <c r="L87" i="14" s="1"/>
  <c r="T85" i="1"/>
  <c r="Z85" i="1"/>
  <c r="W85" i="1"/>
  <c r="D88" i="14" l="1"/>
  <c r="B199" i="10"/>
  <c r="L86" i="1"/>
  <c r="H88" i="14" l="1"/>
  <c r="M86" i="1"/>
  <c r="M199" i="10"/>
  <c r="N199" i="10" s="1"/>
  <c r="L199" i="10"/>
  <c r="E199" i="10"/>
  <c r="F199" i="10" s="1"/>
  <c r="T199" i="10" l="1"/>
  <c r="U199" i="10" s="1"/>
  <c r="O86" i="1" s="1"/>
  <c r="J88" i="14" s="1"/>
  <c r="O199" i="10"/>
  <c r="P199" i="10" s="1"/>
  <c r="S86" i="1"/>
  <c r="X199" i="10"/>
  <c r="K86" i="1" s="1"/>
  <c r="G88" i="14" s="1"/>
  <c r="G199" i="10"/>
  <c r="H199" i="10" s="1"/>
  <c r="I199" i="10" s="1"/>
  <c r="I86" i="1" s="1"/>
  <c r="C88" i="14" s="1"/>
  <c r="H86" i="1"/>
  <c r="I88" i="14"/>
  <c r="N86" i="1"/>
  <c r="F88" i="14" l="1"/>
  <c r="J86" i="1"/>
  <c r="E88" i="14" s="1"/>
  <c r="F87" i="1"/>
  <c r="K88" i="14"/>
  <c r="W86" i="1"/>
  <c r="X86" i="1" s="1"/>
  <c r="Z86" i="1"/>
  <c r="Q199" i="10"/>
  <c r="R199" i="10" s="1"/>
  <c r="S199" i="10" s="1"/>
  <c r="U86" i="1" s="1"/>
  <c r="Y199" i="10"/>
  <c r="V86" i="1" s="1"/>
  <c r="L88" i="14" s="1"/>
  <c r="T86" i="1"/>
  <c r="D89" i="14" l="1"/>
  <c r="B200" i="10"/>
  <c r="L87" i="1"/>
  <c r="M200" i="10" l="1"/>
  <c r="N200" i="10" s="1"/>
  <c r="H89" i="14"/>
  <c r="M87" i="1"/>
  <c r="L200" i="10"/>
  <c r="E200" i="10"/>
  <c r="F200" i="10" s="1"/>
  <c r="G200" i="10" l="1"/>
  <c r="H200" i="10" s="1"/>
  <c r="I200" i="10" s="1"/>
  <c r="I87" i="1" s="1"/>
  <c r="C89" i="14" s="1"/>
  <c r="H87" i="1"/>
  <c r="X200" i="10"/>
  <c r="K87" i="1" s="1"/>
  <c r="G89" i="14" s="1"/>
  <c r="I89" i="14"/>
  <c r="N87" i="1"/>
  <c r="S87" i="1"/>
  <c r="O200" i="10"/>
  <c r="P200" i="10" s="1"/>
  <c r="T200" i="10"/>
  <c r="U200" i="10" l="1"/>
  <c r="O87" i="1" s="1"/>
  <c r="J89" i="14" s="1"/>
  <c r="T87" i="1"/>
  <c r="Y200" i="10"/>
  <c r="V87" i="1" s="1"/>
  <c r="L89" i="14" s="1"/>
  <c r="Q200" i="10"/>
  <c r="R200" i="10" s="1"/>
  <c r="S200" i="10" s="1"/>
  <c r="U87" i="1" s="1"/>
  <c r="W87" i="1"/>
  <c r="Z87" i="1"/>
  <c r="F88" i="1"/>
  <c r="K89" i="14"/>
  <c r="J87" i="1"/>
  <c r="E89" i="14" s="1"/>
  <c r="F89" i="14"/>
  <c r="L88" i="1" l="1"/>
  <c r="B201" i="10"/>
  <c r="D90" i="14"/>
  <c r="E201" i="10" l="1"/>
  <c r="F201" i="10" s="1"/>
  <c r="L201" i="10"/>
  <c r="M88" i="1"/>
  <c r="H90" i="14"/>
  <c r="M201" i="10"/>
  <c r="N201" i="10" s="1"/>
  <c r="O201" i="10" l="1"/>
  <c r="P201" i="10" s="1"/>
  <c r="T201" i="10"/>
  <c r="S88" i="1"/>
  <c r="I90" i="14"/>
  <c r="N88" i="1"/>
  <c r="X201" i="10"/>
  <c r="K88" i="1" s="1"/>
  <c r="G90" i="14" s="1"/>
  <c r="H88" i="1"/>
  <c r="G201" i="10"/>
  <c r="H201" i="10" s="1"/>
  <c r="I201" i="10" s="1"/>
  <c r="I88" i="1" s="1"/>
  <c r="C90" i="14" s="1"/>
  <c r="W88" i="1" l="1"/>
  <c r="Z88" i="1"/>
  <c r="F89" i="1"/>
  <c r="K90" i="14"/>
  <c r="J88" i="1"/>
  <c r="E90" i="14" s="1"/>
  <c r="F90" i="14"/>
  <c r="T88" i="1"/>
  <c r="Q201" i="10"/>
  <c r="R201" i="10" s="1"/>
  <c r="S201" i="10" s="1"/>
  <c r="U88" i="1" s="1"/>
  <c r="Y201" i="10"/>
  <c r="V88" i="1" s="1"/>
  <c r="L90" i="14" s="1"/>
  <c r="U201" i="10"/>
  <c r="O88" i="1" s="1"/>
  <c r="J90" i="14" s="1"/>
  <c r="L89" i="1" l="1"/>
  <c r="D91" i="14"/>
  <c r="B202" i="10"/>
  <c r="X60" i="1"/>
  <c r="X61" i="1"/>
  <c r="X84" i="1"/>
  <c r="X54" i="1"/>
  <c r="X73" i="1"/>
  <c r="X85" i="1"/>
  <c r="X67" i="1"/>
  <c r="X70" i="1"/>
  <c r="X59" i="1"/>
  <c r="X8" i="1"/>
  <c r="X68" i="1"/>
  <c r="X88" i="1"/>
  <c r="X37" i="1"/>
  <c r="X38" i="1"/>
  <c r="X71" i="1"/>
  <c r="X50" i="1"/>
  <c r="X82" i="1"/>
  <c r="X42" i="1"/>
  <c r="X81" i="1"/>
  <c r="X47" i="1"/>
  <c r="X58" i="1"/>
  <c r="X46" i="1"/>
  <c r="X52" i="1"/>
  <c r="X31" i="1"/>
  <c r="E202" i="10" l="1"/>
  <c r="F202" i="10" s="1"/>
  <c r="L202" i="10"/>
  <c r="M89" i="1"/>
  <c r="M202" i="10"/>
  <c r="N202" i="10" s="1"/>
  <c r="H91" i="14"/>
  <c r="T202" i="10" l="1"/>
  <c r="U202" i="10" s="1"/>
  <c r="O89" i="1" s="1"/>
  <c r="J91" i="14" s="1"/>
  <c r="O202" i="10"/>
  <c r="P202" i="10" s="1"/>
  <c r="S89" i="1"/>
  <c r="I91" i="14"/>
  <c r="N89" i="1"/>
  <c r="X202" i="10"/>
  <c r="K89" i="1" s="1"/>
  <c r="G91" i="14" s="1"/>
  <c r="G202" i="10"/>
  <c r="H202" i="10" s="1"/>
  <c r="I202" i="10" s="1"/>
  <c r="I89" i="1" s="1"/>
  <c r="C91" i="14" s="1"/>
  <c r="H89" i="1"/>
  <c r="F91" i="14" l="1"/>
  <c r="J89" i="1"/>
  <c r="E91" i="14" s="1"/>
  <c r="W89" i="1"/>
  <c r="Z89" i="1"/>
  <c r="F90" i="1"/>
  <c r="K91" i="14"/>
  <c r="T89" i="1"/>
  <c r="Y202" i="10"/>
  <c r="V89" i="1" s="1"/>
  <c r="L91" i="14" s="1"/>
  <c r="Q202" i="10"/>
  <c r="R202" i="10" s="1"/>
  <c r="S202" i="10" s="1"/>
  <c r="U89" i="1" s="1"/>
  <c r="X89" i="1" l="1"/>
  <c r="L90" i="1"/>
  <c r="B203" i="10"/>
  <c r="E36" i="12"/>
  <c r="F138" i="1"/>
  <c r="D92" i="14"/>
  <c r="E203" i="10" l="1"/>
  <c r="F203" i="10" s="1"/>
  <c r="L203" i="10"/>
  <c r="H92" i="14"/>
  <c r="M203" i="10"/>
  <c r="N203" i="10" s="1"/>
  <c r="M90" i="1"/>
  <c r="S90" i="1" l="1"/>
  <c r="O203" i="10"/>
  <c r="P203" i="10" s="1"/>
  <c r="T203" i="10"/>
  <c r="N90" i="1"/>
  <c r="I92" i="14"/>
  <c r="H90" i="1"/>
  <c r="G203" i="10"/>
  <c r="H203" i="10" s="1"/>
  <c r="I203" i="10" s="1"/>
  <c r="I90" i="1" s="1"/>
  <c r="X203" i="10"/>
  <c r="K90" i="1" s="1"/>
  <c r="G92" i="14" l="1"/>
  <c r="G36" i="12"/>
  <c r="H138" i="1"/>
  <c r="F92" i="14"/>
  <c r="J90" i="1"/>
  <c r="E92" i="14" s="1"/>
  <c r="F36" i="12"/>
  <c r="U203" i="10"/>
  <c r="O90" i="1" s="1"/>
  <c r="J92" i="14" s="1"/>
  <c r="Q203" i="10"/>
  <c r="R203" i="10" s="1"/>
  <c r="S203" i="10" s="1"/>
  <c r="U90" i="1" s="1"/>
  <c r="T90" i="1"/>
  <c r="Y203" i="10"/>
  <c r="V90" i="1" s="1"/>
  <c r="L92" i="14" s="1"/>
  <c r="D36" i="12"/>
  <c r="C92" i="14"/>
  <c r="I138" i="1"/>
  <c r="W90" i="1"/>
  <c r="Z90" i="1"/>
  <c r="K92" i="14"/>
  <c r="F91" i="1"/>
  <c r="X90" i="1" l="1"/>
  <c r="L91" i="1"/>
  <c r="D93" i="14"/>
  <c r="B204" i="10"/>
  <c r="H93" i="14" l="1"/>
  <c r="M91" i="1"/>
  <c r="M204" i="10"/>
  <c r="N204" i="10" s="1"/>
  <c r="E204" i="10"/>
  <c r="F204" i="10" s="1"/>
  <c r="L204" i="10"/>
  <c r="O204" i="10" l="1"/>
  <c r="P204" i="10" s="1"/>
  <c r="T204" i="10"/>
  <c r="S91" i="1"/>
  <c r="X204" i="10"/>
  <c r="K91" i="1" s="1"/>
  <c r="G93" i="14" s="1"/>
  <c r="G204" i="10"/>
  <c r="H204" i="10" s="1"/>
  <c r="I204" i="10" s="1"/>
  <c r="I91" i="1" s="1"/>
  <c r="C93" i="14" s="1"/>
  <c r="H91" i="1"/>
  <c r="U204" i="10"/>
  <c r="O91" i="1" s="1"/>
  <c r="J93" i="14" s="1"/>
  <c r="N91" i="1"/>
  <c r="I93" i="14"/>
  <c r="Z91" i="1" l="1"/>
  <c r="W91" i="1"/>
  <c r="J91" i="1"/>
  <c r="E93" i="14" s="1"/>
  <c r="F93" i="14"/>
  <c r="K93" i="14"/>
  <c r="F92" i="1"/>
  <c r="Q204" i="10"/>
  <c r="R204" i="10" s="1"/>
  <c r="S204" i="10" s="1"/>
  <c r="U91" i="1" s="1"/>
  <c r="Y204" i="10"/>
  <c r="V91" i="1" s="1"/>
  <c r="L93" i="14" s="1"/>
  <c r="T91" i="1"/>
  <c r="X91" i="1" l="1"/>
  <c r="B205" i="10"/>
  <c r="D94" i="14"/>
  <c r="L92" i="1"/>
  <c r="E205" i="10" l="1"/>
  <c r="F205" i="10" s="1"/>
  <c r="L205" i="10"/>
  <c r="H94" i="14"/>
  <c r="M92" i="1"/>
  <c r="M205" i="10"/>
  <c r="N205" i="10" s="1"/>
  <c r="N92" i="1" l="1"/>
  <c r="I94" i="14"/>
  <c r="T205" i="10"/>
  <c r="O205" i="10"/>
  <c r="P205" i="10" s="1"/>
  <c r="S92" i="1"/>
  <c r="G205" i="10"/>
  <c r="H205" i="10" s="1"/>
  <c r="I205" i="10" s="1"/>
  <c r="I92" i="1" s="1"/>
  <c r="C94" i="14" s="1"/>
  <c r="X205" i="10"/>
  <c r="K92" i="1" s="1"/>
  <c r="G94" i="14" s="1"/>
  <c r="H92" i="1"/>
  <c r="J92" i="1" l="1"/>
  <c r="E94" i="14" s="1"/>
  <c r="F94" i="14"/>
  <c r="F93" i="1"/>
  <c r="K94" i="14"/>
  <c r="U205" i="10"/>
  <c r="O92" i="1" s="1"/>
  <c r="J94" i="14" s="1"/>
  <c r="T92" i="1"/>
  <c r="Q205" i="10"/>
  <c r="R205" i="10" s="1"/>
  <c r="S205" i="10" s="1"/>
  <c r="U92" i="1" s="1"/>
  <c r="Y205" i="10"/>
  <c r="V92" i="1" s="1"/>
  <c r="L94" i="14" s="1"/>
  <c r="Z92" i="1"/>
  <c r="W92" i="1"/>
  <c r="D95" i="14" l="1"/>
  <c r="L93" i="1"/>
  <c r="B206" i="10"/>
  <c r="X92" i="1"/>
  <c r="E206" i="10" l="1"/>
  <c r="F206" i="10" s="1"/>
  <c r="L206" i="10"/>
  <c r="H95" i="14"/>
  <c r="M206" i="10"/>
  <c r="N206" i="10" s="1"/>
  <c r="M93" i="1"/>
  <c r="N93" i="1" l="1"/>
  <c r="I95" i="14"/>
  <c r="T206" i="10"/>
  <c r="U206" i="10" s="1"/>
  <c r="O93" i="1" s="1"/>
  <c r="J95" i="14" s="1"/>
  <c r="S93" i="1"/>
  <c r="O206" i="10"/>
  <c r="P206" i="10" s="1"/>
  <c r="H93" i="1"/>
  <c r="X206" i="10"/>
  <c r="K93" i="1" s="1"/>
  <c r="G95" i="14" s="1"/>
  <c r="G206" i="10"/>
  <c r="H206" i="10" s="1"/>
  <c r="I206" i="10" s="1"/>
  <c r="I93" i="1" s="1"/>
  <c r="C95" i="14" s="1"/>
  <c r="F94" i="1" l="1"/>
  <c r="K95" i="14"/>
  <c r="Q206" i="10"/>
  <c r="R206" i="10" s="1"/>
  <c r="S206" i="10" s="1"/>
  <c r="U93" i="1" s="1"/>
  <c r="T93" i="1"/>
  <c r="Y206" i="10"/>
  <c r="V93" i="1" s="1"/>
  <c r="L95" i="14" s="1"/>
  <c r="J93" i="1"/>
  <c r="E95" i="14" s="1"/>
  <c r="F95" i="14"/>
  <c r="W93" i="1"/>
  <c r="Z93" i="1"/>
  <c r="X93" i="1" l="1"/>
  <c r="D96" i="14"/>
  <c r="B207" i="10"/>
  <c r="L94" i="1"/>
  <c r="E207" i="10" l="1"/>
  <c r="F207" i="10" s="1"/>
  <c r="L207" i="10"/>
  <c r="M94" i="1"/>
  <c r="M207" i="10"/>
  <c r="N207" i="10" s="1"/>
  <c r="H96" i="14"/>
  <c r="S94" i="1" l="1"/>
  <c r="O207" i="10"/>
  <c r="P207" i="10" s="1"/>
  <c r="T207" i="10"/>
  <c r="I96" i="14"/>
  <c r="N94" i="1"/>
  <c r="X207" i="10"/>
  <c r="K94" i="1" s="1"/>
  <c r="G96" i="14" s="1"/>
  <c r="G207" i="10"/>
  <c r="H207" i="10" s="1"/>
  <c r="I207" i="10" s="1"/>
  <c r="I94" i="1" s="1"/>
  <c r="C96" i="14" s="1"/>
  <c r="H94" i="1"/>
  <c r="W94" i="1" l="1"/>
  <c r="X94" i="1" s="1"/>
  <c r="Z94" i="1"/>
  <c r="U207" i="10"/>
  <c r="O94" i="1" s="1"/>
  <c r="J96" i="14" s="1"/>
  <c r="T94" i="1"/>
  <c r="Q207" i="10"/>
  <c r="R207" i="10" s="1"/>
  <c r="S207" i="10" s="1"/>
  <c r="U94" i="1" s="1"/>
  <c r="Y207" i="10"/>
  <c r="V94" i="1" s="1"/>
  <c r="L96" i="14" s="1"/>
  <c r="F96" i="14"/>
  <c r="J94" i="1"/>
  <c r="E96" i="14" s="1"/>
  <c r="K96" i="14"/>
  <c r="F95" i="1"/>
  <c r="L95" i="1" l="1"/>
  <c r="F139" i="1"/>
  <c r="B208" i="10"/>
  <c r="D97" i="14"/>
  <c r="E37" i="12"/>
  <c r="L208" i="10" l="1"/>
  <c r="E208" i="10"/>
  <c r="F208" i="10" s="1"/>
  <c r="H97" i="14"/>
  <c r="M95" i="1"/>
  <c r="M208" i="10"/>
  <c r="N208" i="10" s="1"/>
  <c r="O208" i="10" l="1"/>
  <c r="P208" i="10" s="1"/>
  <c r="T208" i="10"/>
  <c r="U208" i="10" s="1"/>
  <c r="O95" i="1" s="1"/>
  <c r="J97" i="14" s="1"/>
  <c r="S95" i="1"/>
  <c r="N95" i="1"/>
  <c r="I97" i="14"/>
  <c r="G208" i="10"/>
  <c r="H208" i="10" s="1"/>
  <c r="I208" i="10" s="1"/>
  <c r="I95" i="1" s="1"/>
  <c r="X208" i="10"/>
  <c r="K95" i="1" s="1"/>
  <c r="H95" i="1"/>
  <c r="K97" i="14" l="1"/>
  <c r="F96" i="1"/>
  <c r="C97" i="14"/>
  <c r="D37" i="12"/>
  <c r="I139" i="1"/>
  <c r="Z95" i="1"/>
  <c r="W95" i="1"/>
  <c r="X95" i="1" s="1"/>
  <c r="F97" i="14"/>
  <c r="H139" i="1"/>
  <c r="J95" i="1"/>
  <c r="E97" i="14" s="1"/>
  <c r="F37" i="12"/>
  <c r="T95" i="1"/>
  <c r="Q208" i="10"/>
  <c r="R208" i="10" s="1"/>
  <c r="S208" i="10" s="1"/>
  <c r="U95" i="1" s="1"/>
  <c r="Y208" i="10"/>
  <c r="V95" i="1" s="1"/>
  <c r="L97" i="14" s="1"/>
  <c r="G97" i="14"/>
  <c r="G37" i="12"/>
  <c r="D98" i="14" l="1"/>
  <c r="L96" i="1"/>
  <c r="B209" i="10"/>
  <c r="M96" i="1" l="1"/>
  <c r="M209" i="10"/>
  <c r="N209" i="10" s="1"/>
  <c r="H98" i="14"/>
  <c r="E209" i="10"/>
  <c r="F209" i="10" s="1"/>
  <c r="L209" i="10"/>
  <c r="O209" i="10" l="1"/>
  <c r="P209" i="10" s="1"/>
  <c r="T209" i="10"/>
  <c r="S96" i="1"/>
  <c r="G209" i="10"/>
  <c r="H209" i="10" s="1"/>
  <c r="I209" i="10" s="1"/>
  <c r="I96" i="1" s="1"/>
  <c r="C98" i="14" s="1"/>
  <c r="H96" i="1"/>
  <c r="X209" i="10"/>
  <c r="K96" i="1" s="1"/>
  <c r="G98" i="14" s="1"/>
  <c r="U209" i="10"/>
  <c r="O96" i="1" s="1"/>
  <c r="J98" i="14" s="1"/>
  <c r="N96" i="1"/>
  <c r="I98" i="14"/>
  <c r="J96" i="1" l="1"/>
  <c r="E98" i="14" s="1"/>
  <c r="F98" i="14"/>
  <c r="W96" i="1"/>
  <c r="X96" i="1" s="1"/>
  <c r="Z96" i="1"/>
  <c r="T96" i="1"/>
  <c r="Y209" i="10"/>
  <c r="V96" i="1" s="1"/>
  <c r="L98" i="14" s="1"/>
  <c r="Q209" i="10"/>
  <c r="R209" i="10" s="1"/>
  <c r="S209" i="10" s="1"/>
  <c r="U96" i="1" s="1"/>
  <c r="K98" i="14"/>
  <c r="F97" i="1"/>
  <c r="D99" i="14" l="1"/>
  <c r="B210" i="10"/>
  <c r="L97" i="1"/>
  <c r="E210" i="10" l="1"/>
  <c r="F210" i="10" s="1"/>
  <c r="L210" i="10"/>
  <c r="H99" i="14"/>
  <c r="M97" i="1"/>
  <c r="M210" i="10"/>
  <c r="N210" i="10" s="1"/>
  <c r="S97" i="1" l="1"/>
  <c r="O210" i="10"/>
  <c r="P210" i="10" s="1"/>
  <c r="T210" i="10"/>
  <c r="H97" i="1"/>
  <c r="G210" i="10"/>
  <c r="H210" i="10" s="1"/>
  <c r="I210" i="10" s="1"/>
  <c r="I97" i="1" s="1"/>
  <c r="C99" i="14" s="1"/>
  <c r="X210" i="10"/>
  <c r="K97" i="1" s="1"/>
  <c r="G99" i="14" s="1"/>
  <c r="U210" i="10"/>
  <c r="O97" i="1" s="1"/>
  <c r="J99" i="14" s="1"/>
  <c r="N97" i="1"/>
  <c r="I99" i="14"/>
  <c r="W97" i="1" l="1"/>
  <c r="X97" i="1" s="1"/>
  <c r="Z97" i="1"/>
  <c r="T97" i="1"/>
  <c r="Q210" i="10"/>
  <c r="R210" i="10" s="1"/>
  <c r="S210" i="10" s="1"/>
  <c r="U97" i="1" s="1"/>
  <c r="Y210" i="10"/>
  <c r="V97" i="1" s="1"/>
  <c r="L99" i="14" s="1"/>
  <c r="J97" i="1"/>
  <c r="E99" i="14" s="1"/>
  <c r="F99" i="14"/>
  <c r="K99" i="14"/>
  <c r="F98" i="1"/>
  <c r="D100" i="14" l="1"/>
  <c r="L98" i="1"/>
  <c r="B211" i="10"/>
  <c r="M211" i="10" l="1"/>
  <c r="N211" i="10" s="1"/>
  <c r="M98" i="1"/>
  <c r="H100" i="14"/>
  <c r="E211" i="10"/>
  <c r="F211" i="10" s="1"/>
  <c r="L211" i="10"/>
  <c r="G211" i="10" l="1"/>
  <c r="H211" i="10" s="1"/>
  <c r="I211" i="10" s="1"/>
  <c r="I98" i="1" s="1"/>
  <c r="C100" i="14" s="1"/>
  <c r="H98" i="1"/>
  <c r="X211" i="10"/>
  <c r="K98" i="1" s="1"/>
  <c r="G100" i="14" s="1"/>
  <c r="N98" i="1"/>
  <c r="I100" i="14"/>
  <c r="O211" i="10"/>
  <c r="P211" i="10" s="1"/>
  <c r="S98" i="1"/>
  <c r="T211" i="10"/>
  <c r="U211" i="10" s="1"/>
  <c r="O98" i="1" s="1"/>
  <c r="J100" i="14" s="1"/>
  <c r="F99" i="1" l="1"/>
  <c r="K100" i="14"/>
  <c r="Z98" i="1"/>
  <c r="W98" i="1"/>
  <c r="X98" i="1" s="1"/>
  <c r="J98" i="1"/>
  <c r="E100" i="14" s="1"/>
  <c r="F100" i="14"/>
  <c r="T98" i="1"/>
  <c r="Q211" i="10"/>
  <c r="R211" i="10" s="1"/>
  <c r="S211" i="10" s="1"/>
  <c r="U98" i="1" s="1"/>
  <c r="Y211" i="10"/>
  <c r="V98" i="1" s="1"/>
  <c r="L100" i="14" s="1"/>
  <c r="D101" i="14" l="1"/>
  <c r="L99" i="1"/>
  <c r="B212" i="10"/>
  <c r="H101" i="14" l="1"/>
  <c r="M212" i="10"/>
  <c r="N212" i="10" s="1"/>
  <c r="M99" i="1"/>
  <c r="L212" i="10"/>
  <c r="E212" i="10"/>
  <c r="F212" i="10" s="1"/>
  <c r="I101" i="14" l="1"/>
  <c r="N99" i="1"/>
  <c r="S99" i="1"/>
  <c r="O212" i="10"/>
  <c r="P212" i="10" s="1"/>
  <c r="T212" i="10"/>
  <c r="G212" i="10"/>
  <c r="H212" i="10" s="1"/>
  <c r="I212" i="10" s="1"/>
  <c r="I99" i="1" s="1"/>
  <c r="C101" i="14" s="1"/>
  <c r="H99" i="1"/>
  <c r="X212" i="10"/>
  <c r="K99" i="1" s="1"/>
  <c r="G101" i="14" s="1"/>
  <c r="J99" i="1" l="1"/>
  <c r="E101" i="14" s="1"/>
  <c r="F101" i="14"/>
  <c r="Y212" i="10"/>
  <c r="V99" i="1" s="1"/>
  <c r="L101" i="14" s="1"/>
  <c r="Q212" i="10"/>
  <c r="R212" i="10" s="1"/>
  <c r="S212" i="10" s="1"/>
  <c r="U99" i="1" s="1"/>
  <c r="T99" i="1"/>
  <c r="F100" i="1"/>
  <c r="K101" i="14"/>
  <c r="W99" i="1"/>
  <c r="X99" i="1" s="1"/>
  <c r="Z99" i="1"/>
  <c r="U212" i="10"/>
  <c r="O99" i="1" s="1"/>
  <c r="J101" i="14" s="1"/>
  <c r="F140" i="1" l="1"/>
  <c r="E38" i="12"/>
  <c r="B213" i="10"/>
  <c r="L100" i="1"/>
  <c r="D102" i="14"/>
  <c r="M100" i="1" l="1"/>
  <c r="M213" i="10"/>
  <c r="N213" i="10" s="1"/>
  <c r="H102" i="14"/>
  <c r="E213" i="10"/>
  <c r="F213" i="10" s="1"/>
  <c r="L213" i="10"/>
  <c r="G213" i="10" l="1"/>
  <c r="H213" i="10" s="1"/>
  <c r="I213" i="10" s="1"/>
  <c r="I100" i="1" s="1"/>
  <c r="H100" i="1"/>
  <c r="X213" i="10"/>
  <c r="K100" i="1" s="1"/>
  <c r="S100" i="1"/>
  <c r="O213" i="10"/>
  <c r="P213" i="10" s="1"/>
  <c r="T213" i="10"/>
  <c r="N100" i="1"/>
  <c r="I102" i="14"/>
  <c r="Y213" i="10" l="1"/>
  <c r="V100" i="1" s="1"/>
  <c r="L102" i="14" s="1"/>
  <c r="T100" i="1"/>
  <c r="Q213" i="10"/>
  <c r="R213" i="10" s="1"/>
  <c r="S213" i="10" s="1"/>
  <c r="U100" i="1" s="1"/>
  <c r="G102" i="14"/>
  <c r="G38" i="12"/>
  <c r="Z100" i="1"/>
  <c r="W100" i="1"/>
  <c r="X100" i="1" s="1"/>
  <c r="K102" i="14"/>
  <c r="F101" i="1"/>
  <c r="U213" i="10"/>
  <c r="O100" i="1" s="1"/>
  <c r="J102" i="14" s="1"/>
  <c r="F38" i="12"/>
  <c r="H140" i="1"/>
  <c r="F102" i="14"/>
  <c r="J100" i="1"/>
  <c r="E102" i="14" s="1"/>
  <c r="C102" i="14"/>
  <c r="D38" i="12"/>
  <c r="I140" i="1"/>
  <c r="L101" i="1" l="1"/>
  <c r="D103" i="14"/>
  <c r="B214" i="10"/>
  <c r="E214" i="10" l="1"/>
  <c r="F214" i="10" s="1"/>
  <c r="L214" i="10"/>
  <c r="M101" i="1"/>
  <c r="M214" i="10"/>
  <c r="N214" i="10" s="1"/>
  <c r="H103" i="14"/>
  <c r="O214" i="10" l="1"/>
  <c r="P214" i="10" s="1"/>
  <c r="S101" i="1"/>
  <c r="T214" i="10"/>
  <c r="I103" i="14"/>
  <c r="N101" i="1"/>
  <c r="G214" i="10"/>
  <c r="H214" i="10" s="1"/>
  <c r="I214" i="10" s="1"/>
  <c r="I101" i="1" s="1"/>
  <c r="C103" i="14" s="1"/>
  <c r="H101" i="1"/>
  <c r="X214" i="10"/>
  <c r="K101" i="1" s="1"/>
  <c r="G103" i="14" s="1"/>
  <c r="J101" i="1" l="1"/>
  <c r="E103" i="14" s="1"/>
  <c r="F103" i="14"/>
  <c r="K103" i="14"/>
  <c r="F102" i="1"/>
  <c r="Z101" i="1"/>
  <c r="W101" i="1"/>
  <c r="X101" i="1" s="1"/>
  <c r="Y214" i="10"/>
  <c r="V101" i="1" s="1"/>
  <c r="L103" i="14" s="1"/>
  <c r="T101" i="1"/>
  <c r="Q214" i="10"/>
  <c r="R214" i="10" s="1"/>
  <c r="S214" i="10" s="1"/>
  <c r="U101" i="1" s="1"/>
  <c r="U214" i="10"/>
  <c r="O101" i="1" s="1"/>
  <c r="J103" i="14" s="1"/>
  <c r="B215" i="10" l="1"/>
  <c r="D104" i="14"/>
  <c r="L102" i="1"/>
  <c r="H104" i="14" l="1"/>
  <c r="M215" i="10"/>
  <c r="N215" i="10" s="1"/>
  <c r="M102" i="1"/>
  <c r="L215" i="10"/>
  <c r="E215" i="10"/>
  <c r="F215" i="10" s="1"/>
  <c r="G215" i="10" l="1"/>
  <c r="H215" i="10" s="1"/>
  <c r="I215" i="10" s="1"/>
  <c r="I102" i="1" s="1"/>
  <c r="C104" i="14" s="1"/>
  <c r="H102" i="1"/>
  <c r="X215" i="10"/>
  <c r="K102" i="1" s="1"/>
  <c r="G104" i="14" s="1"/>
  <c r="T215" i="10"/>
  <c r="U215" i="10" s="1"/>
  <c r="O102" i="1" s="1"/>
  <c r="J104" i="14" s="1"/>
  <c r="S102" i="1"/>
  <c r="O215" i="10"/>
  <c r="P215" i="10" s="1"/>
  <c r="I104" i="14"/>
  <c r="N102" i="1"/>
  <c r="K104" i="14" l="1"/>
  <c r="F103" i="1"/>
  <c r="Y215" i="10"/>
  <c r="V102" i="1" s="1"/>
  <c r="L104" i="14" s="1"/>
  <c r="Q215" i="10"/>
  <c r="R215" i="10" s="1"/>
  <c r="S215" i="10" s="1"/>
  <c r="U102" i="1" s="1"/>
  <c r="T102" i="1"/>
  <c r="F104" i="14"/>
  <c r="J102" i="1"/>
  <c r="E104" i="14" s="1"/>
  <c r="Z102" i="1"/>
  <c r="W102" i="1"/>
  <c r="X102" i="1" s="1"/>
  <c r="B216" i="10" l="1"/>
  <c r="D105" i="14"/>
  <c r="L103" i="1"/>
  <c r="M216" i="10" l="1"/>
  <c r="N216" i="10" s="1"/>
  <c r="M103" i="1"/>
  <c r="H105" i="14"/>
  <c r="E216" i="10"/>
  <c r="F216" i="10" s="1"/>
  <c r="L216" i="10"/>
  <c r="N103" i="1" l="1"/>
  <c r="I105" i="14"/>
  <c r="G216" i="10"/>
  <c r="H216" i="10" s="1"/>
  <c r="I216" i="10" s="1"/>
  <c r="I103" i="1" s="1"/>
  <c r="C105" i="14" s="1"/>
  <c r="H103" i="1"/>
  <c r="X216" i="10"/>
  <c r="K103" i="1" s="1"/>
  <c r="G105" i="14" s="1"/>
  <c r="T216" i="10"/>
  <c r="U216" i="10" s="1"/>
  <c r="O103" i="1" s="1"/>
  <c r="J105" i="14" s="1"/>
  <c r="S103" i="1"/>
  <c r="O216" i="10"/>
  <c r="P216" i="10" s="1"/>
  <c r="J103" i="1" l="1"/>
  <c r="E105" i="14" s="1"/>
  <c r="F105" i="14"/>
  <c r="K105" i="14"/>
  <c r="F104" i="1"/>
  <c r="T103" i="1"/>
  <c r="Q216" i="10"/>
  <c r="R216" i="10" s="1"/>
  <c r="S216" i="10" s="1"/>
  <c r="U103" i="1" s="1"/>
  <c r="Y216" i="10"/>
  <c r="V103" i="1" s="1"/>
  <c r="L105" i="14" s="1"/>
  <c r="Z103" i="1"/>
  <c r="W103" i="1"/>
  <c r="X103" i="1" s="1"/>
  <c r="D106" i="14" l="1"/>
  <c r="L104" i="1"/>
  <c r="B217" i="10"/>
  <c r="M217" i="10" l="1"/>
  <c r="N217" i="10" s="1"/>
  <c r="M104" i="1"/>
  <c r="H106" i="14"/>
  <c r="E217" i="10"/>
  <c r="F217" i="10" s="1"/>
  <c r="L217" i="10"/>
  <c r="N104" i="1" l="1"/>
  <c r="I106" i="14"/>
  <c r="X217" i="10"/>
  <c r="K104" i="1" s="1"/>
  <c r="G106" i="14" s="1"/>
  <c r="G217" i="10"/>
  <c r="H217" i="10" s="1"/>
  <c r="I217" i="10" s="1"/>
  <c r="I104" i="1" s="1"/>
  <c r="C106" i="14" s="1"/>
  <c r="H104" i="1"/>
  <c r="T217" i="10"/>
  <c r="U217" i="10" s="1"/>
  <c r="O104" i="1" s="1"/>
  <c r="J106" i="14" s="1"/>
  <c r="O217" i="10"/>
  <c r="P217" i="10" s="1"/>
  <c r="S104" i="1"/>
  <c r="J104" i="1" l="1"/>
  <c r="E106" i="14" s="1"/>
  <c r="F106" i="14"/>
  <c r="T104" i="1"/>
  <c r="Y217" i="10"/>
  <c r="V104" i="1" s="1"/>
  <c r="L106" i="14" s="1"/>
  <c r="Q217" i="10"/>
  <c r="R217" i="10" s="1"/>
  <c r="S217" i="10" s="1"/>
  <c r="U104" i="1" s="1"/>
  <c r="K106" i="14"/>
  <c r="F105" i="1"/>
  <c r="Z104" i="1"/>
  <c r="W104" i="1"/>
  <c r="X104" i="1" s="1"/>
  <c r="E39" i="12" l="1"/>
  <c r="F141" i="1"/>
  <c r="D107" i="14"/>
  <c r="B218" i="10"/>
  <c r="L105" i="1"/>
  <c r="M105" i="1" l="1"/>
  <c r="H107" i="14"/>
  <c r="M218" i="10"/>
  <c r="N218" i="10" s="1"/>
  <c r="E218" i="10"/>
  <c r="F218" i="10" s="1"/>
  <c r="L218" i="10"/>
  <c r="X218" i="10" l="1"/>
  <c r="K105" i="1" s="1"/>
  <c r="H105" i="1"/>
  <c r="G218" i="10"/>
  <c r="H218" i="10" s="1"/>
  <c r="I218" i="10" s="1"/>
  <c r="I105" i="1" s="1"/>
  <c r="S105" i="1"/>
  <c r="O218" i="10"/>
  <c r="P218" i="10" s="1"/>
  <c r="T218" i="10"/>
  <c r="N105" i="1"/>
  <c r="I107" i="14"/>
  <c r="Y218" i="10" l="1"/>
  <c r="V105" i="1" s="1"/>
  <c r="L107" i="14" s="1"/>
  <c r="Q218" i="10"/>
  <c r="R218" i="10" s="1"/>
  <c r="S218" i="10" s="1"/>
  <c r="U105" i="1" s="1"/>
  <c r="T105" i="1"/>
  <c r="W105" i="1"/>
  <c r="X105" i="1" s="1"/>
  <c r="Z105" i="1"/>
  <c r="U218" i="10"/>
  <c r="O105" i="1" s="1"/>
  <c r="J107" i="14" s="1"/>
  <c r="C107" i="14"/>
  <c r="I141" i="1"/>
  <c r="D39" i="12"/>
  <c r="F39" i="12"/>
  <c r="H141" i="1"/>
  <c r="J105" i="1"/>
  <c r="E107" i="14" s="1"/>
  <c r="F107" i="14"/>
  <c r="K107" i="14"/>
  <c r="F106" i="1"/>
  <c r="G107" i="14"/>
  <c r="G39" i="12"/>
  <c r="D108" i="14" l="1"/>
  <c r="L106" i="1"/>
  <c r="B219" i="10"/>
  <c r="H108" i="14" l="1"/>
  <c r="M106" i="1"/>
  <c r="M219" i="10"/>
  <c r="N219" i="10" s="1"/>
  <c r="E219" i="10"/>
  <c r="F219" i="10" s="1"/>
  <c r="L219" i="10"/>
  <c r="G219" i="10" l="1"/>
  <c r="H219" i="10" s="1"/>
  <c r="I219" i="10" s="1"/>
  <c r="I106" i="1" s="1"/>
  <c r="C108" i="14" s="1"/>
  <c r="X219" i="10"/>
  <c r="K106" i="1" s="1"/>
  <c r="G108" i="14" s="1"/>
  <c r="H106" i="1"/>
  <c r="I108" i="14"/>
  <c r="N106" i="1"/>
  <c r="T219" i="10"/>
  <c r="O219" i="10"/>
  <c r="P219" i="10" s="1"/>
  <c r="S106" i="1"/>
  <c r="Y219" i="10" l="1"/>
  <c r="V106" i="1" s="1"/>
  <c r="L108" i="14" s="1"/>
  <c r="T106" i="1"/>
  <c r="Q219" i="10"/>
  <c r="R219" i="10" s="1"/>
  <c r="S219" i="10" s="1"/>
  <c r="U106" i="1" s="1"/>
  <c r="U219" i="10"/>
  <c r="O106" i="1" s="1"/>
  <c r="J108" i="14" s="1"/>
  <c r="Z106" i="1"/>
  <c r="W106" i="1"/>
  <c r="X106" i="1" s="1"/>
  <c r="F108" i="14"/>
  <c r="J106" i="1"/>
  <c r="E108" i="14" s="1"/>
  <c r="F107" i="1"/>
  <c r="K108" i="14"/>
  <c r="B220" i="10" l="1"/>
  <c r="D109" i="14"/>
  <c r="L107" i="1"/>
  <c r="M107" i="1" l="1"/>
  <c r="M220" i="10"/>
  <c r="N220" i="10" s="1"/>
  <c r="H109" i="14"/>
  <c r="E220" i="10"/>
  <c r="F220" i="10" s="1"/>
  <c r="L220" i="10"/>
  <c r="X220" i="10" l="1"/>
  <c r="K107" i="1" s="1"/>
  <c r="G109" i="14" s="1"/>
  <c r="H107" i="1"/>
  <c r="G220" i="10"/>
  <c r="H220" i="10" s="1"/>
  <c r="I220" i="10" s="1"/>
  <c r="I107" i="1" s="1"/>
  <c r="C109" i="14" s="1"/>
  <c r="O220" i="10"/>
  <c r="P220" i="10" s="1"/>
  <c r="T220" i="10"/>
  <c r="U220" i="10" s="1"/>
  <c r="O107" i="1" s="1"/>
  <c r="J109" i="14" s="1"/>
  <c r="S107" i="1"/>
  <c r="N107" i="1"/>
  <c r="I109" i="14"/>
  <c r="W107" i="1" l="1"/>
  <c r="X107" i="1" s="1"/>
  <c r="Z107" i="1"/>
  <c r="F108" i="1"/>
  <c r="K109" i="14"/>
  <c r="J107" i="1"/>
  <c r="E109" i="14" s="1"/>
  <c r="F109" i="14"/>
  <c r="Q220" i="10"/>
  <c r="R220" i="10" s="1"/>
  <c r="S220" i="10" s="1"/>
  <c r="U107" i="1" s="1"/>
  <c r="T107" i="1"/>
  <c r="Y220" i="10"/>
  <c r="V107" i="1" s="1"/>
  <c r="L109" i="14" s="1"/>
  <c r="L108" i="1" l="1"/>
  <c r="D110" i="14"/>
  <c r="B221" i="10"/>
  <c r="E221" i="10" l="1"/>
  <c r="F221" i="10" s="1"/>
  <c r="L221" i="10"/>
  <c r="H110" i="14"/>
  <c r="M108" i="1"/>
  <c r="M221" i="10"/>
  <c r="N221" i="10" s="1"/>
  <c r="O221" i="10" l="1"/>
  <c r="P221" i="10" s="1"/>
  <c r="T221" i="10"/>
  <c r="S108" i="1"/>
  <c r="N108" i="1"/>
  <c r="I110" i="14"/>
  <c r="X221" i="10"/>
  <c r="K108" i="1" s="1"/>
  <c r="G110" i="14" s="1"/>
  <c r="G221" i="10"/>
  <c r="H221" i="10" s="1"/>
  <c r="I221" i="10" s="1"/>
  <c r="I108" i="1" s="1"/>
  <c r="C110" i="14" s="1"/>
  <c r="H108" i="1"/>
  <c r="J108" i="1" l="1"/>
  <c r="E110" i="14" s="1"/>
  <c r="F110" i="14"/>
  <c r="Q221" i="10"/>
  <c r="R221" i="10" s="1"/>
  <c r="S221" i="10" s="1"/>
  <c r="U108" i="1" s="1"/>
  <c r="Y221" i="10"/>
  <c r="V108" i="1" s="1"/>
  <c r="L110" i="14" s="1"/>
  <c r="T108" i="1"/>
  <c r="Z108" i="1"/>
  <c r="W108" i="1"/>
  <c r="X108" i="1" s="1"/>
  <c r="F109" i="1"/>
  <c r="K110" i="14"/>
  <c r="U221" i="10"/>
  <c r="O108" i="1" s="1"/>
  <c r="J110" i="14" s="1"/>
  <c r="D111" i="14" l="1"/>
  <c r="L109" i="1"/>
  <c r="B222" i="10"/>
  <c r="M109" i="1" l="1"/>
  <c r="M222" i="10"/>
  <c r="N222" i="10" s="1"/>
  <c r="H111" i="14"/>
  <c r="E222" i="10"/>
  <c r="F222" i="10" s="1"/>
  <c r="L222" i="10"/>
  <c r="X222" i="10" l="1"/>
  <c r="K109" i="1" s="1"/>
  <c r="G111" i="14" s="1"/>
  <c r="H109" i="1"/>
  <c r="G222" i="10"/>
  <c r="H222" i="10" s="1"/>
  <c r="I222" i="10" s="1"/>
  <c r="I109" i="1" s="1"/>
  <c r="C111" i="14" s="1"/>
  <c r="T222" i="10"/>
  <c r="O222" i="10"/>
  <c r="P222" i="10" s="1"/>
  <c r="S109" i="1"/>
  <c r="N109" i="1"/>
  <c r="I111" i="14"/>
  <c r="Z109" i="1" l="1"/>
  <c r="W109" i="1"/>
  <c r="X109" i="1" s="1"/>
  <c r="F110" i="1"/>
  <c r="K111" i="14"/>
  <c r="T109" i="1"/>
  <c r="Y222" i="10"/>
  <c r="V109" i="1" s="1"/>
  <c r="L111" i="14" s="1"/>
  <c r="Q222" i="10"/>
  <c r="R222" i="10" s="1"/>
  <c r="S222" i="10" s="1"/>
  <c r="U109" i="1" s="1"/>
  <c r="U222" i="10"/>
  <c r="O109" i="1" s="1"/>
  <c r="J111" i="14" s="1"/>
  <c r="J109" i="1"/>
  <c r="E111" i="14" s="1"/>
  <c r="F111" i="14"/>
  <c r="E40" i="12" l="1"/>
  <c r="F142" i="1"/>
  <c r="D112" i="14"/>
  <c r="L110" i="1"/>
  <c r="B223" i="10"/>
  <c r="E223" i="10" l="1"/>
  <c r="F223" i="10" s="1"/>
  <c r="L223" i="10"/>
  <c r="M110" i="1"/>
  <c r="H112" i="14"/>
  <c r="M223" i="10"/>
  <c r="N223" i="10" s="1"/>
  <c r="O223" i="10" l="1"/>
  <c r="P223" i="10" s="1"/>
  <c r="T223" i="10"/>
  <c r="S110" i="1"/>
  <c r="X223" i="10"/>
  <c r="K110" i="1" s="1"/>
  <c r="H110" i="1"/>
  <c r="G223" i="10"/>
  <c r="H223" i="10" s="1"/>
  <c r="I223" i="10" s="1"/>
  <c r="I110" i="1" s="1"/>
  <c r="U223" i="10"/>
  <c r="O110" i="1" s="1"/>
  <c r="J112" i="14" s="1"/>
  <c r="I112" i="14"/>
  <c r="N110" i="1"/>
  <c r="C112" i="14" l="1"/>
  <c r="D40" i="12"/>
  <c r="I142" i="1"/>
  <c r="F40" i="12"/>
  <c r="H142" i="1"/>
  <c r="F112" i="14"/>
  <c r="J110" i="1"/>
  <c r="E112" i="14" s="1"/>
  <c r="G112" i="14"/>
  <c r="G40" i="12"/>
  <c r="K112" i="14"/>
  <c r="F111" i="1"/>
  <c r="Q223" i="10"/>
  <c r="R223" i="10" s="1"/>
  <c r="S223" i="10" s="1"/>
  <c r="U110" i="1" s="1"/>
  <c r="T110" i="1"/>
  <c r="Y223" i="10"/>
  <c r="V110" i="1" s="1"/>
  <c r="L112" i="14" s="1"/>
  <c r="Z110" i="1"/>
  <c r="W110" i="1"/>
  <c r="X110" i="1" s="1"/>
  <c r="D113" i="14" l="1"/>
  <c r="B224" i="10"/>
  <c r="L111" i="1"/>
  <c r="X78" i="1"/>
  <c r="X6" i="1"/>
  <c r="X16" i="1"/>
  <c r="X41" i="1"/>
  <c r="X9" i="1"/>
  <c r="X12" i="1"/>
  <c r="X30" i="1"/>
  <c r="X49" i="1"/>
  <c r="X44" i="1"/>
  <c r="X72" i="1"/>
  <c r="X26" i="1"/>
  <c r="X40" i="1"/>
  <c r="X10" i="1"/>
  <c r="X36" i="1"/>
  <c r="M224" i="10" l="1"/>
  <c r="N224" i="10" s="1"/>
  <c r="H113" i="14"/>
  <c r="M111" i="1"/>
  <c r="E224" i="10"/>
  <c r="F224" i="10" s="1"/>
  <c r="L224" i="10"/>
  <c r="I113" i="14" l="1"/>
  <c r="N111" i="1"/>
  <c r="G224" i="10"/>
  <c r="H224" i="10" s="1"/>
  <c r="I224" i="10" s="1"/>
  <c r="I111" i="1" s="1"/>
  <c r="C113" i="14" s="1"/>
  <c r="X224" i="10"/>
  <c r="K111" i="1" s="1"/>
  <c r="G113" i="14" s="1"/>
  <c r="H111" i="1"/>
  <c r="O224" i="10"/>
  <c r="P224" i="10" s="1"/>
  <c r="T224" i="10"/>
  <c r="S111" i="1"/>
  <c r="Q224" i="10" l="1"/>
  <c r="R224" i="10" s="1"/>
  <c r="S224" i="10" s="1"/>
  <c r="U111" i="1" s="1"/>
  <c r="T111" i="1"/>
  <c r="Y224" i="10"/>
  <c r="V111" i="1" s="1"/>
  <c r="L113" i="14" s="1"/>
  <c r="U224" i="10"/>
  <c r="O111" i="1" s="1"/>
  <c r="J113" i="14" s="1"/>
  <c r="J111" i="1"/>
  <c r="E113" i="14" s="1"/>
  <c r="F113" i="14"/>
  <c r="Z111" i="1"/>
  <c r="W111" i="1"/>
  <c r="F112" i="1"/>
  <c r="K113" i="14"/>
  <c r="J31" i="12"/>
  <c r="X111" i="1" l="1"/>
  <c r="D114" i="14"/>
  <c r="L112" i="1"/>
  <c r="B225" i="10"/>
  <c r="K31" i="12"/>
  <c r="L225" i="10" l="1"/>
  <c r="E225" i="10"/>
  <c r="F225" i="10" s="1"/>
  <c r="M112" i="1"/>
  <c r="M225" i="10"/>
  <c r="N225" i="10" s="1"/>
  <c r="H114" i="14"/>
  <c r="O225" i="10" l="1"/>
  <c r="P225" i="10" s="1"/>
  <c r="T225" i="10"/>
  <c r="S112" i="1"/>
  <c r="I114" i="14"/>
  <c r="N112" i="1"/>
  <c r="G225" i="10"/>
  <c r="H225" i="10" s="1"/>
  <c r="I225" i="10" s="1"/>
  <c r="I112" i="1" s="1"/>
  <c r="C114" i="14" s="1"/>
  <c r="H112" i="1"/>
  <c r="X225" i="10"/>
  <c r="K112" i="1" s="1"/>
  <c r="G114" i="14" s="1"/>
  <c r="J112" i="1" l="1"/>
  <c r="E114" i="14" s="1"/>
  <c r="F114" i="14"/>
  <c r="W112" i="1"/>
  <c r="Z112" i="1"/>
  <c r="K114" i="14"/>
  <c r="F113" i="1"/>
  <c r="T112" i="1"/>
  <c r="Y225" i="10"/>
  <c r="V112" i="1" s="1"/>
  <c r="L114" i="14" s="1"/>
  <c r="Q225" i="10"/>
  <c r="R225" i="10" s="1"/>
  <c r="S225" i="10" s="1"/>
  <c r="U112" i="1" s="1"/>
  <c r="U225" i="10"/>
  <c r="O112" i="1" s="1"/>
  <c r="J114" i="14" s="1"/>
  <c r="X112" i="1" l="1"/>
  <c r="D115" i="14"/>
  <c r="B226" i="10"/>
  <c r="L113" i="1"/>
  <c r="E226" i="10" l="1"/>
  <c r="F226" i="10" s="1"/>
  <c r="L226" i="10"/>
  <c r="H115" i="14"/>
  <c r="M226" i="10"/>
  <c r="N226" i="10" s="1"/>
  <c r="M113" i="1"/>
  <c r="S113" i="1" l="1"/>
  <c r="O226" i="10"/>
  <c r="P226" i="10" s="1"/>
  <c r="T226" i="10"/>
  <c r="G226" i="10"/>
  <c r="H226" i="10" s="1"/>
  <c r="I226" i="10" s="1"/>
  <c r="I113" i="1" s="1"/>
  <c r="C115" i="14" s="1"/>
  <c r="X226" i="10"/>
  <c r="K113" i="1" s="1"/>
  <c r="G115" i="14" s="1"/>
  <c r="H113" i="1"/>
  <c r="I115" i="14"/>
  <c r="N113" i="1"/>
  <c r="J113" i="1" l="1"/>
  <c r="E115" i="14" s="1"/>
  <c r="F115" i="14"/>
  <c r="Y226" i="10"/>
  <c r="V113" i="1" s="1"/>
  <c r="L115" i="14" s="1"/>
  <c r="Q226" i="10"/>
  <c r="R226" i="10" s="1"/>
  <c r="S226" i="10" s="1"/>
  <c r="U113" i="1" s="1"/>
  <c r="T113" i="1"/>
  <c r="U226" i="10"/>
  <c r="O113" i="1" s="1"/>
  <c r="J115" i="14" s="1"/>
  <c r="W113" i="1"/>
  <c r="Z113" i="1"/>
  <c r="F114" i="1"/>
  <c r="K115" i="14"/>
  <c r="X113" i="1" l="1"/>
  <c r="B227" i="10"/>
  <c r="D116" i="14"/>
  <c r="L114" i="1"/>
  <c r="M227" i="10" l="1"/>
  <c r="N227" i="10" s="1"/>
  <c r="M114" i="1"/>
  <c r="H116" i="14"/>
  <c r="L227" i="10"/>
  <c r="E227" i="10"/>
  <c r="F227" i="10" s="1"/>
  <c r="G227" i="10" l="1"/>
  <c r="H227" i="10" s="1"/>
  <c r="I227" i="10" s="1"/>
  <c r="I114" i="1" s="1"/>
  <c r="C116" i="14" s="1"/>
  <c r="H114" i="1"/>
  <c r="X227" i="10"/>
  <c r="K114" i="1" s="1"/>
  <c r="G116" i="14" s="1"/>
  <c r="N114" i="1"/>
  <c r="I116" i="14"/>
  <c r="O227" i="10"/>
  <c r="P227" i="10" s="1"/>
  <c r="T227" i="10"/>
  <c r="S114" i="1"/>
  <c r="Z114" i="1" l="1"/>
  <c r="W114" i="1"/>
  <c r="T114" i="1"/>
  <c r="Y227" i="10"/>
  <c r="V114" i="1" s="1"/>
  <c r="L116" i="14" s="1"/>
  <c r="Q227" i="10"/>
  <c r="R227" i="10" s="1"/>
  <c r="S227" i="10" s="1"/>
  <c r="U114" i="1" s="1"/>
  <c r="U227" i="10"/>
  <c r="O114" i="1" s="1"/>
  <c r="J116" i="14" s="1"/>
  <c r="J114" i="1"/>
  <c r="E116" i="14" s="1"/>
  <c r="F116" i="14"/>
  <c r="F115" i="1"/>
  <c r="K116" i="14"/>
  <c r="X114" i="1" l="1"/>
  <c r="F143" i="1"/>
  <c r="E41" i="12"/>
  <c r="E42" i="12"/>
  <c r="L115" i="1"/>
  <c r="D117" i="14"/>
  <c r="B228" i="10"/>
  <c r="M31" i="12"/>
  <c r="M115" i="1" l="1"/>
  <c r="M228" i="10"/>
  <c r="N228" i="10" s="1"/>
  <c r="H117" i="14"/>
  <c r="L117" i="1"/>
  <c r="L116" i="1"/>
  <c r="E228" i="10"/>
  <c r="F228" i="10" s="1"/>
  <c r="L228" i="10"/>
  <c r="L118" i="1" l="1"/>
  <c r="B31" i="1" s="1"/>
  <c r="X228" i="10"/>
  <c r="K115" i="1" s="1"/>
  <c r="G228" i="10"/>
  <c r="H228" i="10" s="1"/>
  <c r="I228" i="10" s="1"/>
  <c r="I115" i="1" s="1"/>
  <c r="H115" i="1"/>
  <c r="T228" i="10"/>
  <c r="S115" i="1"/>
  <c r="K117" i="14" s="1"/>
  <c r="O228" i="10"/>
  <c r="P228" i="10" s="1"/>
  <c r="N115" i="1"/>
  <c r="I117" i="14"/>
  <c r="Y228" i="10" l="1"/>
  <c r="V115" i="1" s="1"/>
  <c r="L117" i="14" s="1"/>
  <c r="T115" i="1"/>
  <c r="Q228" i="10"/>
  <c r="R228" i="10" s="1"/>
  <c r="S228" i="10" s="1"/>
  <c r="U115" i="1" s="1"/>
  <c r="U228" i="10"/>
  <c r="O115" i="1" s="1"/>
  <c r="J117" i="14" s="1"/>
  <c r="H143" i="1"/>
  <c r="F41" i="12"/>
  <c r="F42" i="12"/>
  <c r="F117" i="14"/>
  <c r="J115" i="1"/>
  <c r="E117" i="14" s="1"/>
  <c r="N31" i="12"/>
  <c r="C117" i="14"/>
  <c r="I143" i="1"/>
  <c r="D41" i="12"/>
  <c r="D42" i="12"/>
  <c r="O31" i="12"/>
  <c r="G117" i="14"/>
  <c r="G41" i="12"/>
  <c r="G42" i="12"/>
  <c r="W115" i="1"/>
  <c r="Z115" i="1"/>
  <c r="X28" i="1" l="1"/>
  <c r="X43" i="1"/>
  <c r="X13" i="1"/>
  <c r="X87" i="1"/>
  <c r="X24" i="1"/>
  <c r="X18" i="1"/>
  <c r="X17" i="1"/>
  <c r="X20" i="1"/>
  <c r="X5" i="1"/>
  <c r="X27" i="1"/>
  <c r="X62" i="1"/>
  <c r="X64" i="1"/>
  <c r="X34" i="1"/>
  <c r="X33" i="1"/>
  <c r="X15" i="1"/>
  <c r="X57" i="1"/>
  <c r="X22" i="1"/>
  <c r="X14" i="1"/>
  <c r="X55" i="1"/>
  <c r="X21" i="1"/>
  <c r="X32" i="1"/>
  <c r="X63" i="1"/>
  <c r="X23" i="1"/>
  <c r="X35" i="1"/>
  <c r="X79" i="1"/>
  <c r="X39" i="1"/>
  <c r="X25" i="1"/>
  <c r="X56" i="1"/>
  <c r="X69" i="1"/>
  <c r="X45" i="1"/>
  <c r="X53" i="1"/>
  <c r="X115" i="1"/>
  <c r="X48" i="1"/>
  <c r="X29" i="1"/>
  <c r="X19" i="1"/>
  <c r="C41" i="6" l="1"/>
  <c r="C39" i="6"/>
  <c r="C46" i="6"/>
  <c r="D43" i="6"/>
  <c r="L26" i="12" s="1"/>
  <c r="C38" i="6"/>
  <c r="D47" i="6"/>
  <c r="L30" i="12" s="1"/>
  <c r="C43" i="6"/>
  <c r="D38" i="6"/>
  <c r="L21" i="12" s="1"/>
  <c r="C40" i="6"/>
  <c r="C47" i="6"/>
  <c r="D40" i="6"/>
  <c r="L23" i="12" s="1"/>
  <c r="D39" i="6"/>
  <c r="L22" i="12" s="1"/>
  <c r="C44" i="6"/>
  <c r="C45" i="6"/>
  <c r="D41" i="6"/>
  <c r="L24" i="12" s="1"/>
  <c r="D44" i="6"/>
  <c r="L27" i="12" s="1"/>
  <c r="D45" i="6"/>
  <c r="L28" i="12" s="1"/>
  <c r="D42" i="6"/>
  <c r="L25" i="12" s="1"/>
  <c r="C42" i="6"/>
  <c r="D46" i="6"/>
  <c r="L29" i="12" s="1"/>
  <c r="J26" i="12" l="1"/>
  <c r="M26" i="12" s="1"/>
  <c r="R26" i="12"/>
  <c r="P26" i="12"/>
  <c r="K26" i="12"/>
  <c r="Q26" i="12"/>
  <c r="T26" i="12"/>
  <c r="O26" i="12"/>
  <c r="S26" i="12"/>
  <c r="N26" i="12"/>
  <c r="T28" i="12"/>
  <c r="N28" i="12"/>
  <c r="J28" i="12"/>
  <c r="Q28" i="12"/>
  <c r="O28" i="12"/>
  <c r="K28" i="12"/>
  <c r="M28" i="12"/>
  <c r="R28" i="12"/>
  <c r="P28" i="12"/>
  <c r="S28" i="12"/>
  <c r="K27" i="12"/>
  <c r="S27" i="12"/>
  <c r="M27" i="12"/>
  <c r="Q27" i="12"/>
  <c r="P27" i="12"/>
  <c r="N27" i="12"/>
  <c r="O27" i="12"/>
  <c r="J27" i="12"/>
  <c r="R27" i="12"/>
  <c r="T27" i="12"/>
  <c r="J21" i="12"/>
  <c r="R21" i="12" s="1"/>
  <c r="T25" i="12"/>
  <c r="P25" i="12"/>
  <c r="J25" i="12"/>
  <c r="S25" i="12" s="1"/>
  <c r="Q25" i="12"/>
  <c r="O25" i="12"/>
  <c r="K25" i="12"/>
  <c r="R25" i="12"/>
  <c r="T29" i="12"/>
  <c r="J29" i="12"/>
  <c r="M29" i="12"/>
  <c r="K29" i="12"/>
  <c r="S29" i="12"/>
  <c r="P29" i="12"/>
  <c r="R29" i="12"/>
  <c r="N29" i="12"/>
  <c r="O29" i="12"/>
  <c r="Q29" i="12"/>
  <c r="O30" i="12"/>
  <c r="T30" i="12"/>
  <c r="Q30" i="12"/>
  <c r="P30" i="12"/>
  <c r="S30" i="12"/>
  <c r="K30" i="12"/>
  <c r="N30" i="12"/>
  <c r="J30" i="12"/>
  <c r="M30" i="12"/>
  <c r="R30" i="12"/>
  <c r="J22" i="12"/>
  <c r="K22" i="12" s="1"/>
  <c r="J23" i="12"/>
  <c r="Q23" i="12" s="1"/>
  <c r="J24" i="12"/>
  <c r="N24" i="12" s="1"/>
  <c r="M25" i="12" l="1"/>
  <c r="N25" i="12"/>
  <c r="Q21" i="12"/>
  <c r="R24" i="12"/>
  <c r="O24" i="12"/>
  <c r="Q24" i="12"/>
  <c r="T24" i="12"/>
  <c r="M24" i="12"/>
  <c r="Q22" i="12"/>
  <c r="K24" i="12"/>
  <c r="S24" i="12"/>
  <c r="P24" i="12"/>
  <c r="S22" i="12"/>
  <c r="M22" i="12"/>
  <c r="K23" i="12"/>
  <c r="R23" i="12"/>
  <c r="N23" i="12"/>
  <c r="P22" i="12"/>
  <c r="T22" i="12"/>
  <c r="P21" i="12"/>
  <c r="S21" i="12"/>
  <c r="N21" i="12"/>
  <c r="M21" i="12"/>
  <c r="P23" i="12"/>
  <c r="R22" i="12"/>
  <c r="K21" i="12"/>
  <c r="O23" i="12"/>
  <c r="T23" i="12"/>
  <c r="T21" i="12"/>
  <c r="O21" i="12"/>
  <c r="M23" i="12"/>
  <c r="O22" i="12"/>
  <c r="S23" i="12"/>
  <c r="N22" i="12"/>
  <c r="T31" i="12" l="1"/>
  <c r="J32" i="12" s="1"/>
</calcChain>
</file>

<file path=xl/sharedStrings.xml><?xml version="1.0" encoding="utf-8"?>
<sst xmlns="http://schemas.openxmlformats.org/spreadsheetml/2006/main" count="623" uniqueCount="324">
  <si>
    <t>地位</t>
    <rPh sb="0" eb="2">
      <t>チイ</t>
    </rPh>
    <phoneticPr fontId="1"/>
  </si>
  <si>
    <t>林齢</t>
    <rPh sb="0" eb="2">
      <t>リンレイ</t>
    </rPh>
    <phoneticPr fontId="1"/>
  </si>
  <si>
    <t>樹高</t>
    <rPh sb="0" eb="2">
      <t>ジュコウ</t>
    </rPh>
    <phoneticPr fontId="1"/>
  </si>
  <si>
    <t>直径</t>
    <rPh sb="0" eb="2">
      <t>チョッケイ</t>
    </rPh>
    <phoneticPr fontId="1"/>
  </si>
  <si>
    <t>材積</t>
    <rPh sb="0" eb="2">
      <t>ザイセキ</t>
    </rPh>
    <phoneticPr fontId="1"/>
  </si>
  <si>
    <t>林齢</t>
    <rPh sb="0" eb="1">
      <t>リン</t>
    </rPh>
    <rPh sb="1" eb="2">
      <t>レイ</t>
    </rPh>
    <phoneticPr fontId="3"/>
  </si>
  <si>
    <t>採用式</t>
    <rPh sb="0" eb="2">
      <t>サイヨウ</t>
    </rPh>
    <rPh sb="2" eb="3">
      <t>シキ</t>
    </rPh>
    <phoneticPr fontId="3"/>
  </si>
  <si>
    <t>-2*σH</t>
  </si>
  <si>
    <t>-1.34*σH</t>
  </si>
  <si>
    <t>-0.67*σH</t>
  </si>
  <si>
    <t>中心線</t>
    <rPh sb="0" eb="2">
      <t>チュウシンセン</t>
    </rPh>
    <phoneticPr fontId="3"/>
  </si>
  <si>
    <t>+0.67*σH</t>
  </si>
  <si>
    <t>+1.34*σH</t>
  </si>
  <si>
    <t>+2*σH</t>
  </si>
  <si>
    <t>標準偏差</t>
    <rPh sb="0" eb="2">
      <t>ヒョウジュン</t>
    </rPh>
    <rPh sb="2" eb="4">
      <t>ヘンサ</t>
    </rPh>
    <phoneticPr fontId="3"/>
  </si>
  <si>
    <t>T</t>
    <phoneticPr fontId="3"/>
  </si>
  <si>
    <t>Logistic</t>
  </si>
  <si>
    <t>推定H</t>
    <rPh sb="0" eb="2">
      <t>スイテイ</t>
    </rPh>
    <phoneticPr fontId="3"/>
  </si>
  <si>
    <t>H</t>
    <phoneticPr fontId="3"/>
  </si>
  <si>
    <t>中心</t>
    <rPh sb="0" eb="1">
      <t>チュウシン</t>
    </rPh>
    <phoneticPr fontId="3"/>
  </si>
  <si>
    <t>0.67*σH</t>
  </si>
  <si>
    <t>1.34*σH</t>
  </si>
  <si>
    <t>2*σH</t>
  </si>
  <si>
    <t>Richards</t>
  </si>
  <si>
    <t>モデル</t>
  </si>
  <si>
    <t>数式</t>
  </si>
  <si>
    <t>y = a*( 1 + (d-1)*exp(-k*(x-xc)) )^(1/(1-d))</t>
  </si>
  <si>
    <t>値</t>
  </si>
  <si>
    <t>a</t>
  </si>
  <si>
    <t>xc</t>
  </si>
  <si>
    <t>k</t>
  </si>
  <si>
    <t>y = a/(1 + exp(-k*(x-xc)))</t>
  </si>
  <si>
    <t>Ry</t>
    <phoneticPr fontId="1"/>
  </si>
  <si>
    <t>最多密度</t>
    <rPh sb="0" eb="2">
      <t>サイタ</t>
    </rPh>
    <rPh sb="2" eb="4">
      <t>ミツド</t>
    </rPh>
    <phoneticPr fontId="3"/>
  </si>
  <si>
    <t>b1</t>
  </si>
  <si>
    <t>b2</t>
  </si>
  <si>
    <t>b3</t>
  </si>
  <si>
    <t>b4</t>
  </si>
  <si>
    <t>Rf</t>
  </si>
  <si>
    <t>1-Rf</t>
    <phoneticPr fontId="3"/>
  </si>
  <si>
    <t>Ry</t>
    <phoneticPr fontId="3"/>
  </si>
  <si>
    <t>K1'</t>
    <phoneticPr fontId="3"/>
  </si>
  <si>
    <t>K3</t>
  </si>
  <si>
    <t>Ht</t>
    <phoneticPr fontId="3"/>
  </si>
  <si>
    <t>NRy</t>
    <phoneticPr fontId="3"/>
  </si>
  <si>
    <t>haあたり本数
N</t>
    <rPh sb="5" eb="7">
      <t>ホンスウ</t>
    </rPh>
    <phoneticPr fontId="3"/>
  </si>
  <si>
    <t>上層木樹高
Ht</t>
    <rPh sb="0" eb="2">
      <t>ジョウソウ</t>
    </rPh>
    <rPh sb="2" eb="3">
      <t>ボク</t>
    </rPh>
    <rPh sb="3" eb="5">
      <t>ジュコウ</t>
    </rPh>
    <phoneticPr fontId="3"/>
  </si>
  <si>
    <t>↓入力
要確認！</t>
    <rPh sb="1" eb="3">
      <t>ニュウリョク</t>
    </rPh>
    <rPh sb="4" eb="7">
      <t>ヨウカクニン</t>
    </rPh>
    <phoneticPr fontId="3"/>
  </si>
  <si>
    <t>LOGｖ</t>
    <phoneticPr fontId="3"/>
  </si>
  <si>
    <t>切片</t>
  </si>
  <si>
    <t>log(Ht)</t>
  </si>
  <si>
    <t>log(N)</t>
  </si>
  <si>
    <t>HF</t>
  </si>
  <si>
    <t>Ht</t>
  </si>
  <si>
    <t>√N・Hｔ/100</t>
  </si>
  <si>
    <t>D</t>
  </si>
  <si>
    <t>Dg</t>
  </si>
  <si>
    <t>推定D</t>
    <rPh sb="0" eb="2">
      <t>スイテイ</t>
    </rPh>
    <phoneticPr fontId="3"/>
  </si>
  <si>
    <t>推定HF</t>
    <rPh sb="0" eb="2">
      <t>スイテイ</t>
    </rPh>
    <phoneticPr fontId="1"/>
  </si>
  <si>
    <t>推定G</t>
    <rPh sb="0" eb="2">
      <t>スイテイ</t>
    </rPh>
    <phoneticPr fontId="1"/>
  </si>
  <si>
    <t>推定Dg</t>
    <rPh sb="0" eb="2">
      <t>スイテイ</t>
    </rPh>
    <phoneticPr fontId="1"/>
  </si>
  <si>
    <r>
      <t>K2</t>
    </r>
    <r>
      <rPr>
        <vertAlign val="subscript"/>
        <sz val="11"/>
        <color theme="1"/>
        <rFont val="ＭＳ Ｐゴシック"/>
        <family val="3"/>
        <charset val="128"/>
      </rPr>
      <t>Ry</t>
    </r>
    <phoneticPr fontId="3"/>
  </si>
  <si>
    <r>
      <t>LogK2</t>
    </r>
    <r>
      <rPr>
        <vertAlign val="subscript"/>
        <sz val="11"/>
        <color theme="1"/>
        <rFont val="ＭＳ Ｐゴシック"/>
        <family val="3"/>
        <charset val="128"/>
      </rPr>
      <t>Ry</t>
    </r>
    <phoneticPr fontId="3"/>
  </si>
  <si>
    <r>
      <t>K4</t>
    </r>
    <r>
      <rPr>
        <vertAlign val="subscript"/>
        <sz val="11"/>
        <color theme="1"/>
        <rFont val="ＭＳ Ｐゴシック"/>
        <family val="3"/>
        <charset val="128"/>
      </rPr>
      <t>Ry</t>
    </r>
    <phoneticPr fontId="3"/>
  </si>
  <si>
    <r>
      <t>LogK4</t>
    </r>
    <r>
      <rPr>
        <vertAlign val="subscript"/>
        <sz val="11"/>
        <color theme="1"/>
        <rFont val="ＭＳ Ｐゴシック"/>
        <family val="3"/>
        <charset val="128"/>
      </rPr>
      <t>Ry</t>
    </r>
    <phoneticPr fontId="3"/>
  </si>
  <si>
    <t>樹種</t>
    <rPh sb="0" eb="2">
      <t>ジュシュ</t>
    </rPh>
    <phoneticPr fontId="1"/>
  </si>
  <si>
    <t>スギ</t>
    <phoneticPr fontId="1"/>
  </si>
  <si>
    <t>条件①</t>
    <rPh sb="0" eb="2">
      <t>ジョウケン</t>
    </rPh>
    <phoneticPr fontId="1"/>
  </si>
  <si>
    <t>間伐</t>
    <rPh sb="0" eb="2">
      <t>カンバツ</t>
    </rPh>
    <phoneticPr fontId="1"/>
  </si>
  <si>
    <t>密度</t>
    <rPh sb="0" eb="2">
      <t>ミツド</t>
    </rPh>
    <phoneticPr fontId="1"/>
  </si>
  <si>
    <t>間伐後</t>
    <rPh sb="0" eb="2">
      <t>カンバツ</t>
    </rPh>
    <rPh sb="2" eb="3">
      <t>ゴ</t>
    </rPh>
    <phoneticPr fontId="1"/>
  </si>
  <si>
    <t>自然枯死率</t>
    <rPh sb="0" eb="2">
      <t>シゼン</t>
    </rPh>
    <rPh sb="2" eb="4">
      <t>コシ</t>
    </rPh>
    <rPh sb="4" eb="5">
      <t>リツ</t>
    </rPh>
    <phoneticPr fontId="1"/>
  </si>
  <si>
    <t>間伐後密度</t>
    <rPh sb="0" eb="2">
      <t>カンバツ</t>
    </rPh>
    <rPh sb="2" eb="3">
      <t>ゴ</t>
    </rPh>
    <rPh sb="3" eb="5">
      <t>ミツド</t>
    </rPh>
    <phoneticPr fontId="1"/>
  </si>
  <si>
    <t>/年</t>
    <rPh sb="1" eb="2">
      <t>ネン</t>
    </rPh>
    <phoneticPr fontId="1"/>
  </si>
  <si>
    <t>本/ha</t>
    <rPh sb="0" eb="1">
      <t>ホン</t>
    </rPh>
    <phoneticPr fontId="1"/>
  </si>
  <si>
    <t>間伐回数</t>
    <rPh sb="0" eb="2">
      <t>カンバツ</t>
    </rPh>
    <rPh sb="2" eb="4">
      <t>カイスウ</t>
    </rPh>
    <phoneticPr fontId="1"/>
  </si>
  <si>
    <t>回</t>
    <rPh sb="0" eb="1">
      <t>カイ</t>
    </rPh>
    <phoneticPr fontId="1"/>
  </si>
  <si>
    <t>間伐強度</t>
    <rPh sb="0" eb="2">
      <t>カンバツ</t>
    </rPh>
    <rPh sb="2" eb="4">
      <t>キョウド</t>
    </rPh>
    <phoneticPr fontId="1"/>
  </si>
  <si>
    <t>（Ry減少量）</t>
    <rPh sb="5" eb="6">
      <t>リョウ</t>
    </rPh>
    <phoneticPr fontId="1"/>
  </si>
  <si>
    <t>間伐率</t>
    <rPh sb="0" eb="2">
      <t>カンバツ</t>
    </rPh>
    <rPh sb="2" eb="3">
      <t>リツ</t>
    </rPh>
    <phoneticPr fontId="1"/>
  </si>
  <si>
    <t>採用</t>
    <rPh sb="0" eb="2">
      <t>サイヨウ</t>
    </rPh>
    <phoneticPr fontId="3"/>
  </si>
  <si>
    <t>Logistic</t>
    <phoneticPr fontId="3"/>
  </si>
  <si>
    <t>Gompertz</t>
    <phoneticPr fontId="3"/>
  </si>
  <si>
    <t>Mitscherlich</t>
    <phoneticPr fontId="3"/>
  </si>
  <si>
    <t>Allometric1</t>
  </si>
  <si>
    <t>パラメータ数</t>
  </si>
  <si>
    <t>派生パラメータ数</t>
  </si>
  <si>
    <t>データセット数</t>
  </si>
  <si>
    <t>y = a*x^b</t>
  </si>
  <si>
    <t>a</t>
    <phoneticPr fontId="3"/>
  </si>
  <si>
    <t>xc</t>
    <phoneticPr fontId="3"/>
  </si>
  <si>
    <t>b</t>
  </si>
  <si>
    <t>d</t>
    <phoneticPr fontId="3"/>
  </si>
  <si>
    <t>y = a*exp(-exp(-k*(x-xc)))</t>
  </si>
  <si>
    <t>y = A*( 1 - exp(-k*(x-xc)) )</t>
  </si>
  <si>
    <t>A</t>
  </si>
  <si>
    <t>Richards</t>
    <phoneticPr fontId="3"/>
  </si>
  <si>
    <t>Gompertz</t>
  </si>
  <si>
    <t>Mitscherlich</t>
  </si>
  <si>
    <t>logistic</t>
    <phoneticPr fontId="1"/>
  </si>
  <si>
    <t>Gompertz</t>
    <phoneticPr fontId="1"/>
  </si>
  <si>
    <t>Ry</t>
    <phoneticPr fontId="3"/>
  </si>
  <si>
    <t>K1'</t>
    <phoneticPr fontId="3"/>
  </si>
  <si>
    <t>K2'</t>
    <phoneticPr fontId="3"/>
  </si>
  <si>
    <t>K3</t>
    <phoneticPr fontId="3"/>
  </si>
  <si>
    <t>K4</t>
    <phoneticPr fontId="3"/>
  </si>
  <si>
    <t>logK4'</t>
    <phoneticPr fontId="3"/>
  </si>
  <si>
    <t>logK2'</t>
    <phoneticPr fontId="3"/>
  </si>
  <si>
    <t>↓</t>
    <phoneticPr fontId="1"/>
  </si>
  <si>
    <t>コピー；形式を選択して貼り付け；「値」「行列を入れ替える」にチェック</t>
    <rPh sb="4" eb="6">
      <t>ケイシキ</t>
    </rPh>
    <rPh sb="7" eb="9">
      <t>センタク</t>
    </rPh>
    <rPh sb="11" eb="12">
      <t>ハ</t>
    </rPh>
    <rPh sb="13" eb="14">
      <t>ツ</t>
    </rPh>
    <rPh sb="17" eb="18">
      <t>アタイ</t>
    </rPh>
    <rPh sb="20" eb="22">
      <t>ギョウレツ</t>
    </rPh>
    <rPh sb="23" eb="24">
      <t>イ</t>
    </rPh>
    <rPh sb="25" eb="26">
      <t>カ</t>
    </rPh>
    <phoneticPr fontId="1"/>
  </si>
  <si>
    <t>間伐時</t>
    <rPh sb="0" eb="2">
      <t>カンバツ</t>
    </rPh>
    <rPh sb="2" eb="3">
      <t>ジ</t>
    </rPh>
    <phoneticPr fontId="1"/>
  </si>
  <si>
    <t>伐期齢</t>
    <rPh sb="0" eb="2">
      <t>バッキ</t>
    </rPh>
    <rPh sb="2" eb="3">
      <t>レイ</t>
    </rPh>
    <phoneticPr fontId="1"/>
  </si>
  <si>
    <t>間伐量</t>
    <rPh sb="0" eb="3">
      <t>カンバツリョウ</t>
    </rPh>
    <phoneticPr fontId="1"/>
  </si>
  <si>
    <t>間伐本数</t>
    <rPh sb="0" eb="2">
      <t>カンバツ</t>
    </rPh>
    <rPh sb="2" eb="4">
      <t>ホンスウ</t>
    </rPh>
    <phoneticPr fontId="1"/>
  </si>
  <si>
    <t>間伐後本数</t>
    <rPh sb="0" eb="2">
      <t>カンバツ</t>
    </rPh>
    <rPh sb="2" eb="3">
      <t>ゴ</t>
    </rPh>
    <rPh sb="3" eb="5">
      <t>ホンスウ</t>
    </rPh>
    <phoneticPr fontId="1"/>
  </si>
  <si>
    <t>間伐後材積</t>
    <rPh sb="0" eb="2">
      <t>カンバツ</t>
    </rPh>
    <rPh sb="2" eb="3">
      <t>ゴ</t>
    </rPh>
    <rPh sb="3" eb="5">
      <t>ザイセキ</t>
    </rPh>
    <phoneticPr fontId="1"/>
  </si>
  <si>
    <t>推定直径</t>
    <rPh sb="0" eb="2">
      <t>スイテイ</t>
    </rPh>
    <rPh sb="2" eb="4">
      <t>チョッケイ</t>
    </rPh>
    <phoneticPr fontId="1"/>
  </si>
  <si>
    <t>推定材積</t>
    <rPh sb="0" eb="2">
      <t>スイテイ</t>
    </rPh>
    <rPh sb="2" eb="4">
      <t>ザイセキ</t>
    </rPh>
    <phoneticPr fontId="1"/>
  </si>
  <si>
    <t>1回目</t>
    <rPh sb="1" eb="3">
      <t>カイメ</t>
    </rPh>
    <phoneticPr fontId="1"/>
  </si>
  <si>
    <t>2回目</t>
    <rPh sb="1" eb="3">
      <t>カイメ</t>
    </rPh>
    <phoneticPr fontId="1"/>
  </si>
  <si>
    <t>3回目</t>
    <rPh sb="1" eb="3">
      <t>カイメ</t>
    </rPh>
    <phoneticPr fontId="1"/>
  </si>
  <si>
    <t>4回目</t>
    <rPh sb="1" eb="3">
      <t>カイメ</t>
    </rPh>
    <phoneticPr fontId="1"/>
  </si>
  <si>
    <t>5回目</t>
    <rPh sb="1" eb="3">
      <t>カイメ</t>
    </rPh>
    <phoneticPr fontId="1"/>
  </si>
  <si>
    <t>6回目</t>
    <rPh sb="1" eb="3">
      <t>カイメ</t>
    </rPh>
    <phoneticPr fontId="1"/>
  </si>
  <si>
    <t>7回目</t>
    <rPh sb="1" eb="3">
      <t>カイメ</t>
    </rPh>
    <phoneticPr fontId="1"/>
  </si>
  <si>
    <t>8回目</t>
    <rPh sb="1" eb="3">
      <t>カイメ</t>
    </rPh>
    <phoneticPr fontId="1"/>
  </si>
  <si>
    <t>9回目</t>
    <rPh sb="1" eb="3">
      <t>カイメ</t>
    </rPh>
    <phoneticPr fontId="1"/>
  </si>
  <si>
    <t>10回目</t>
    <rPh sb="2" eb="4">
      <t>カイメ</t>
    </rPh>
    <phoneticPr fontId="1"/>
  </si>
  <si>
    <t>主伐</t>
    <rPh sb="0" eb="1">
      <t>シュ</t>
    </rPh>
    <phoneticPr fontId="1"/>
  </si>
  <si>
    <t>間伐前</t>
    <rPh sb="0" eb="2">
      <t>カンバツ</t>
    </rPh>
    <rPh sb="2" eb="3">
      <t>マエ</t>
    </rPh>
    <phoneticPr fontId="14"/>
  </si>
  <si>
    <t>間伐後</t>
    <rPh sb="0" eb="2">
      <t>カンバツ</t>
    </rPh>
    <rPh sb="2" eb="3">
      <t>ゴ</t>
    </rPh>
    <phoneticPr fontId="14"/>
  </si>
  <si>
    <t>林齢</t>
    <rPh sb="0" eb="1">
      <t>リン</t>
    </rPh>
    <rPh sb="1" eb="2">
      <t>レイ</t>
    </rPh>
    <phoneticPr fontId="14"/>
  </si>
  <si>
    <t>間伐率</t>
    <rPh sb="0" eb="3">
      <t>カンバツリツ</t>
    </rPh>
    <phoneticPr fontId="14"/>
  </si>
  <si>
    <t>樹高</t>
    <rPh sb="0" eb="2">
      <t>ジュコウ</t>
    </rPh>
    <phoneticPr fontId="14"/>
  </si>
  <si>
    <t>材積</t>
    <rPh sb="0" eb="2">
      <t>ザイセキ</t>
    </rPh>
    <phoneticPr fontId="14"/>
  </si>
  <si>
    <t>(本/ha)</t>
    <rPh sb="1" eb="2">
      <t>ホン</t>
    </rPh>
    <phoneticPr fontId="14"/>
  </si>
  <si>
    <t>(m)</t>
    <phoneticPr fontId="14"/>
  </si>
  <si>
    <t>(cm)</t>
    <phoneticPr fontId="14"/>
  </si>
  <si>
    <t>(本/ha）</t>
    <rPh sb="1" eb="2">
      <t>ホン</t>
    </rPh>
    <phoneticPr fontId="14"/>
  </si>
  <si>
    <t>現況</t>
    <rPh sb="0" eb="2">
      <t>ゲンキョウ</t>
    </rPh>
    <phoneticPr fontId="14"/>
  </si>
  <si>
    <t>主伐</t>
    <rPh sb="0" eb="2">
      <t>シュバツ</t>
    </rPh>
    <phoneticPr fontId="14"/>
  </si>
  <si>
    <t>Ry</t>
    <phoneticPr fontId="1"/>
  </si>
  <si>
    <t>間伐後直径</t>
    <rPh sb="0" eb="2">
      <t>カンバツ</t>
    </rPh>
    <rPh sb="2" eb="3">
      <t>ゴ</t>
    </rPh>
    <rPh sb="3" eb="5">
      <t>チョッケイ</t>
    </rPh>
    <phoneticPr fontId="1"/>
  </si>
  <si>
    <t>間伐後Ry</t>
    <rPh sb="0" eb="2">
      <t>カンバツ</t>
    </rPh>
    <rPh sb="2" eb="3">
      <t>ゴ</t>
    </rPh>
    <phoneticPr fontId="1"/>
  </si>
  <si>
    <t>Ry</t>
    <phoneticPr fontId="1"/>
  </si>
  <si>
    <t>地位指数適用</t>
    <rPh sb="0" eb="1">
      <t>チイ</t>
    </rPh>
    <rPh sb="1" eb="3">
      <t>シスウ</t>
    </rPh>
    <rPh sb="4" eb="6">
      <t>テキヨウ</t>
    </rPh>
    <phoneticPr fontId="1"/>
  </si>
  <si>
    <t>H</t>
    <phoneticPr fontId="3"/>
  </si>
  <si>
    <t>H</t>
    <phoneticPr fontId="1"/>
  </si>
  <si>
    <t>σH</t>
    <phoneticPr fontId="3"/>
  </si>
  <si>
    <t>-2*σH</t>
    <phoneticPr fontId="3"/>
  </si>
  <si>
    <t>Richards</t>
    <phoneticPr fontId="1"/>
  </si>
  <si>
    <t>√N</t>
    <phoneticPr fontId="1"/>
  </si>
  <si>
    <r>
      <t>推定V
（V</t>
    </r>
    <r>
      <rPr>
        <vertAlign val="subscript"/>
        <sz val="11"/>
        <color theme="1"/>
        <rFont val="游ゴシック"/>
        <family val="3"/>
        <charset val="128"/>
        <scheme val="minor"/>
      </rPr>
      <t>Rc</t>
    </r>
    <r>
      <rPr>
        <sz val="11"/>
        <color theme="1"/>
        <rFont val="游ゴシック"/>
        <family val="2"/>
        <charset val="128"/>
        <scheme val="minor"/>
      </rPr>
      <t>）</t>
    </r>
    <rPh sb="0" eb="2">
      <t>スイテイ</t>
    </rPh>
    <phoneticPr fontId="3"/>
  </si>
  <si>
    <t>間伐後
√N</t>
    <rPh sb="0" eb="2">
      <t>カンバツ</t>
    </rPh>
    <rPh sb="2" eb="3">
      <t>ゴ</t>
    </rPh>
    <phoneticPr fontId="1"/>
  </si>
  <si>
    <t>間伐後
HF</t>
    <rPh sb="0" eb="2">
      <t>カンバツ</t>
    </rPh>
    <rPh sb="2" eb="3">
      <t>ゴ</t>
    </rPh>
    <phoneticPr fontId="1"/>
  </si>
  <si>
    <t>間伐後
G</t>
    <rPh sb="0" eb="2">
      <t>カンバツ</t>
    </rPh>
    <rPh sb="2" eb="3">
      <t>ゴ</t>
    </rPh>
    <phoneticPr fontId="1"/>
  </si>
  <si>
    <t>間伐後
Dg</t>
    <rPh sb="0" eb="2">
      <t>カンバツ</t>
    </rPh>
    <rPh sb="2" eb="3">
      <t>ゴ</t>
    </rPh>
    <phoneticPr fontId="1"/>
  </si>
  <si>
    <t>間伐後
D</t>
    <rPh sb="0" eb="2">
      <t>カンバツ</t>
    </rPh>
    <rPh sb="2" eb="3">
      <t>ゴ</t>
    </rPh>
    <phoneticPr fontId="3"/>
  </si>
  <si>
    <r>
      <t>N</t>
    </r>
    <r>
      <rPr>
        <vertAlign val="subscript"/>
        <sz val="11"/>
        <color theme="1"/>
        <rFont val="游ゴシック"/>
        <family val="3"/>
        <charset val="128"/>
        <scheme val="minor"/>
      </rPr>
      <t>Rf</t>
    </r>
    <phoneticPr fontId="1"/>
  </si>
  <si>
    <r>
      <t>V</t>
    </r>
    <r>
      <rPr>
        <vertAlign val="subscript"/>
        <sz val="11"/>
        <color theme="1"/>
        <rFont val="游ゴシック"/>
        <family val="3"/>
        <charset val="128"/>
        <scheme val="minor"/>
      </rPr>
      <t>Rf</t>
    </r>
    <phoneticPr fontId="3"/>
  </si>
  <si>
    <t>間伐後
Ry</t>
    <rPh sb="0" eb="2">
      <t>カンバツ</t>
    </rPh>
    <rPh sb="2" eb="3">
      <t>ゴ</t>
    </rPh>
    <phoneticPr fontId="1"/>
  </si>
  <si>
    <t>Rf</t>
    <phoneticPr fontId="1"/>
  </si>
  <si>
    <t>1-Rf</t>
  </si>
  <si>
    <t>K3</t>
    <phoneticPr fontId="1"/>
  </si>
  <si>
    <t>K4(Rc=Rf)</t>
    <phoneticPr fontId="1"/>
  </si>
  <si>
    <t>現況密度</t>
    <rPh sb="0" eb="2">
      <t>ゲンキョウ</t>
    </rPh>
    <rPh sb="2" eb="4">
      <t>ミツド</t>
    </rPh>
    <phoneticPr fontId="1"/>
  </si>
  <si>
    <t>Ry=</t>
    <phoneticPr fontId="1"/>
  </si>
  <si>
    <t>間伐率</t>
    <rPh sb="0" eb="2">
      <t>カンバツ</t>
    </rPh>
    <rPh sb="2" eb="3">
      <t>リツ</t>
    </rPh>
    <phoneticPr fontId="1"/>
  </si>
  <si>
    <t>になるまで間伐</t>
    <rPh sb="5" eb="7">
      <t>カンバツ</t>
    </rPh>
    <phoneticPr fontId="1"/>
  </si>
  <si>
    <t>になったら</t>
    <phoneticPr fontId="1"/>
  </si>
  <si>
    <t>自然枯死率</t>
    <rPh sb="0" eb="2">
      <t>シゼン</t>
    </rPh>
    <rPh sb="2" eb="4">
      <t>コシ</t>
    </rPh>
    <rPh sb="4" eb="5">
      <t>リツ</t>
    </rPh>
    <phoneticPr fontId="1"/>
  </si>
  <si>
    <t>間伐前密度</t>
    <rPh sb="0" eb="2">
      <t>カンバツ</t>
    </rPh>
    <rPh sb="2" eb="3">
      <t>マエ</t>
    </rPh>
    <rPh sb="3" eb="5">
      <t>ミツド</t>
    </rPh>
    <phoneticPr fontId="1"/>
  </si>
  <si>
    <t>間伐後密度</t>
    <rPh sb="0" eb="2">
      <t>カンバツ</t>
    </rPh>
    <rPh sb="2" eb="3">
      <t>ゴ</t>
    </rPh>
    <rPh sb="3" eb="5">
      <t>ミツド</t>
    </rPh>
    <phoneticPr fontId="1"/>
  </si>
  <si>
    <t>基準Ry=</t>
    <rPh sb="0" eb="2">
      <t>キジュン</t>
    </rPh>
    <phoneticPr fontId="1"/>
  </si>
  <si>
    <t>K1</t>
    <phoneticPr fontId="3"/>
  </si>
  <si>
    <t>K1'</t>
    <phoneticPr fontId="3"/>
  </si>
  <si>
    <t>K5</t>
    <phoneticPr fontId="3"/>
  </si>
  <si>
    <t>K1+1</t>
    <phoneticPr fontId="3"/>
  </si>
  <si>
    <r>
      <t>N</t>
    </r>
    <r>
      <rPr>
        <vertAlign val="subscript"/>
        <sz val="11"/>
        <color theme="1"/>
        <rFont val="ＭＳ Ｐゴシック"/>
        <family val="3"/>
        <charset val="128"/>
      </rPr>
      <t>0</t>
    </r>
    <phoneticPr fontId="1"/>
  </si>
  <si>
    <t>自然枯死線</t>
    <rPh sb="0" eb="2">
      <t>シゼン</t>
    </rPh>
    <rPh sb="2" eb="4">
      <t>コシ</t>
    </rPh>
    <rPh sb="4" eb="5">
      <t>セン</t>
    </rPh>
    <phoneticPr fontId="1"/>
  </si>
  <si>
    <t>推定ｖ
（無間伐）</t>
    <rPh sb="0" eb="2">
      <t>スイテイ</t>
    </rPh>
    <rPh sb="5" eb="6">
      <t>ム</t>
    </rPh>
    <rPh sb="6" eb="8">
      <t>カンバツ</t>
    </rPh>
    <phoneticPr fontId="3"/>
  </si>
  <si>
    <t>自然枯死線</t>
    <rPh sb="0" eb="2">
      <t>シゼン</t>
    </rPh>
    <rPh sb="2" eb="4">
      <t>コシ</t>
    </rPh>
    <rPh sb="4" eb="5">
      <t>セン</t>
    </rPh>
    <phoneticPr fontId="1"/>
  </si>
  <si>
    <t>本/ha</t>
    <rPh sb="0" eb="1">
      <t>ホン</t>
    </rPh>
    <phoneticPr fontId="1"/>
  </si>
  <si>
    <t>市町村</t>
    <rPh sb="0" eb="3">
      <t>シチョウソン</t>
    </rPh>
    <phoneticPr fontId="1"/>
  </si>
  <si>
    <t>大字</t>
    <rPh sb="0" eb="2">
      <t>オオアザ</t>
    </rPh>
    <phoneticPr fontId="1"/>
  </si>
  <si>
    <t>字</t>
    <rPh sb="0" eb="1">
      <t>アザ</t>
    </rPh>
    <phoneticPr fontId="1"/>
  </si>
  <si>
    <t>地番</t>
    <rPh sb="0" eb="2">
      <t>チバン</t>
    </rPh>
    <phoneticPr fontId="1"/>
  </si>
  <si>
    <t>林班</t>
    <rPh sb="0" eb="1">
      <t>リン</t>
    </rPh>
    <rPh sb="1" eb="2">
      <t>ハン</t>
    </rPh>
    <phoneticPr fontId="1"/>
  </si>
  <si>
    <t>小班</t>
    <rPh sb="0" eb="2">
      <t>ショウハン</t>
    </rPh>
    <phoneticPr fontId="1"/>
  </si>
  <si>
    <t>枝番</t>
    <rPh sb="0" eb="2">
      <t>エダバン</t>
    </rPh>
    <phoneticPr fontId="1"/>
  </si>
  <si>
    <t>面積</t>
    <rPh sb="0" eb="2">
      <t>メンセキ</t>
    </rPh>
    <phoneticPr fontId="1"/>
  </si>
  <si>
    <t>ha</t>
    <phoneticPr fontId="1"/>
  </si>
  <si>
    <t>林小班等</t>
    <rPh sb="0" eb="1">
      <t>リン</t>
    </rPh>
    <rPh sb="1" eb="3">
      <t>ショウハン</t>
    </rPh>
    <rPh sb="3" eb="4">
      <t>トウ</t>
    </rPh>
    <phoneticPr fontId="1"/>
  </si>
  <si>
    <t>Ry</t>
    <phoneticPr fontId="1"/>
  </si>
  <si>
    <t>年生</t>
    <rPh sb="0" eb="2">
      <t>ネンセイ</t>
    </rPh>
    <phoneticPr fontId="1"/>
  </si>
  <si>
    <t>m</t>
    <phoneticPr fontId="1"/>
  </si>
  <si>
    <t>cm</t>
    <phoneticPr fontId="1"/>
  </si>
  <si>
    <r>
      <t>m</t>
    </r>
    <r>
      <rPr>
        <vertAlign val="superscript"/>
        <sz val="11"/>
        <color theme="1"/>
        <rFont val="ＭＳ Ｐゴシック"/>
        <family val="3"/>
        <charset val="128"/>
      </rPr>
      <t>3</t>
    </r>
    <r>
      <rPr>
        <sz val="11"/>
        <color theme="1"/>
        <rFont val="ＭＳ Ｐゴシック"/>
        <family val="2"/>
        <charset val="128"/>
      </rPr>
      <t>/ha</t>
    </r>
    <phoneticPr fontId="1"/>
  </si>
  <si>
    <t>１　林分情報</t>
    <rPh sb="2" eb="4">
      <t>リンブン</t>
    </rPh>
    <rPh sb="4" eb="6">
      <t>ジョウホウ</t>
    </rPh>
    <phoneticPr fontId="1"/>
  </si>
  <si>
    <t>２　現況</t>
    <rPh sb="2" eb="4">
      <t>ゲンキョウ</t>
    </rPh>
    <phoneticPr fontId="1"/>
  </si>
  <si>
    <t>３　計画ほか</t>
    <rPh sb="2" eb="4">
      <t>ケイカク</t>
    </rPh>
    <phoneticPr fontId="1"/>
  </si>
  <si>
    <t>　①基礎情報</t>
    <rPh sb="2" eb="4">
      <t>キソ</t>
    </rPh>
    <rPh sb="4" eb="6">
      <t>ジョウホウ</t>
    </rPh>
    <phoneticPr fontId="1"/>
  </si>
  <si>
    <t>　②間伐計画</t>
    <rPh sb="2" eb="4">
      <t>カンバツ</t>
    </rPh>
    <rPh sb="4" eb="6">
      <t>ケイカク</t>
    </rPh>
    <phoneticPr fontId="1"/>
  </si>
  <si>
    <t>※未入力の場合、無間伐の結果を出力</t>
    <rPh sb="1" eb="4">
      <t>ミニュウリョク</t>
    </rPh>
    <rPh sb="5" eb="7">
      <t>バアイ</t>
    </rPh>
    <rPh sb="8" eb="9">
      <t>ム</t>
    </rPh>
    <rPh sb="9" eb="11">
      <t>カンバツ</t>
    </rPh>
    <rPh sb="12" eb="14">
      <t>ケッカ</t>
    </rPh>
    <rPh sb="15" eb="17">
      <t>シュツリョク</t>
    </rPh>
    <phoneticPr fontId="1"/>
  </si>
  <si>
    <t>入力様式</t>
    <rPh sb="0" eb="2">
      <t>ニュウリョク</t>
    </rPh>
    <rPh sb="2" eb="4">
      <t>ヨウシキ</t>
    </rPh>
    <phoneticPr fontId="1"/>
  </si>
  <si>
    <t>４　結果</t>
    <rPh sb="2" eb="4">
      <t>ケッカ</t>
    </rPh>
    <phoneticPr fontId="1"/>
  </si>
  <si>
    <t>実測Ht</t>
    <rPh sb="0" eb="2">
      <t>ジッソク</t>
    </rPh>
    <phoneticPr fontId="1"/>
  </si>
  <si>
    <t>Ht-中心線H</t>
    <rPh sb="3" eb="6">
      <t>チュウシンセン</t>
    </rPh>
    <phoneticPr fontId="1"/>
  </si>
  <si>
    <t>1.34σH</t>
    <phoneticPr fontId="1"/>
  </si>
  <si>
    <t>地位指数詳細</t>
    <rPh sb="0" eb="2">
      <t>チイ</t>
    </rPh>
    <rPh sb="2" eb="4">
      <t>シスウ</t>
    </rPh>
    <rPh sb="4" eb="6">
      <t>ショウサイ</t>
    </rPh>
    <phoneticPr fontId="1"/>
  </si>
  <si>
    <t>※未入力の場合、植栽密度2,500本/haと仮定</t>
    <rPh sb="1" eb="4">
      <t>ミニュウリョク</t>
    </rPh>
    <rPh sb="5" eb="7">
      <t>バアイ</t>
    </rPh>
    <rPh sb="8" eb="10">
      <t>ショクサイ</t>
    </rPh>
    <rPh sb="10" eb="12">
      <t>ミツド</t>
    </rPh>
    <rPh sb="17" eb="18">
      <t>ホン</t>
    </rPh>
    <rPh sb="22" eb="24">
      <t>カテイ</t>
    </rPh>
    <phoneticPr fontId="1"/>
  </si>
  <si>
    <t>ha材積</t>
    <rPh sb="2" eb="4">
      <t>ザイセキ</t>
    </rPh>
    <phoneticPr fontId="1"/>
  </si>
  <si>
    <t>単木材積</t>
    <rPh sb="0" eb="1">
      <t>タン</t>
    </rPh>
    <rPh sb="1" eb="2">
      <t>ボク</t>
    </rPh>
    <rPh sb="2" eb="4">
      <t>ザイセキ</t>
    </rPh>
    <phoneticPr fontId="1"/>
  </si>
  <si>
    <t>基準密度</t>
    <rPh sb="0" eb="2">
      <t>キジュン</t>
    </rPh>
    <rPh sb="2" eb="4">
      <t>ミツド</t>
    </rPh>
    <phoneticPr fontId="1"/>
  </si>
  <si>
    <t>本数</t>
    <rPh sb="0" eb="2">
      <t>ホンスウ</t>
    </rPh>
    <phoneticPr fontId="14"/>
  </si>
  <si>
    <t>密度</t>
    <rPh sb="0" eb="2">
      <t>ミツド</t>
    </rPh>
    <phoneticPr fontId="14"/>
  </si>
  <si>
    <t>林齢</t>
    <rPh sb="0" eb="2">
      <t>リンレイ</t>
    </rPh>
    <phoneticPr fontId="1"/>
  </si>
  <si>
    <t>樹高</t>
    <rPh sb="0" eb="2">
      <t>ジュコウ</t>
    </rPh>
    <phoneticPr fontId="1"/>
  </si>
  <si>
    <t>直径</t>
    <rPh sb="0" eb="2">
      <t>チョッケイ</t>
    </rPh>
    <phoneticPr fontId="1"/>
  </si>
  <si>
    <t>ha材積</t>
    <rPh sb="2" eb="4">
      <t>ザイセキ</t>
    </rPh>
    <phoneticPr fontId="1"/>
  </si>
  <si>
    <t>ha本数</t>
    <rPh sb="2" eb="4">
      <t>ホンスウ</t>
    </rPh>
    <phoneticPr fontId="1"/>
  </si>
  <si>
    <t>Ry</t>
  </si>
  <si>
    <t>Ry</t>
    <phoneticPr fontId="1"/>
  </si>
  <si>
    <t>間伐</t>
    <rPh sb="0" eb="2">
      <t>カンバツ</t>
    </rPh>
    <phoneticPr fontId="1"/>
  </si>
  <si>
    <t>主伐</t>
    <rPh sb="0" eb="1">
      <t>シュ</t>
    </rPh>
    <rPh sb="1" eb="2">
      <t>バツ</t>
    </rPh>
    <phoneticPr fontId="1"/>
  </si>
  <si>
    <t>合計</t>
    <rPh sb="0" eb="2">
      <t>ゴウケイ</t>
    </rPh>
    <phoneticPr fontId="1"/>
  </si>
  <si>
    <t>間伐計画</t>
    <rPh sb="0" eb="2">
      <t>カンバツ</t>
    </rPh>
    <rPh sb="2" eb="4">
      <t>ケイカク</t>
    </rPh>
    <phoneticPr fontId="1"/>
  </si>
  <si>
    <t>所在地</t>
    <rPh sb="0" eb="3">
      <t>ショザイチ</t>
    </rPh>
    <phoneticPr fontId="1"/>
  </si>
  <si>
    <t>林小班</t>
    <rPh sb="0" eb="1">
      <t>リン</t>
    </rPh>
    <rPh sb="1" eb="3">
      <t>ショウハン</t>
    </rPh>
    <phoneticPr fontId="1"/>
  </si>
  <si>
    <t>面積</t>
    <rPh sb="0" eb="2">
      <t>メンセキ</t>
    </rPh>
    <phoneticPr fontId="1"/>
  </si>
  <si>
    <t>１　林分情報</t>
    <rPh sb="2" eb="4">
      <t>リンブン</t>
    </rPh>
    <rPh sb="4" eb="6">
      <t>ジョウホウ</t>
    </rPh>
    <phoneticPr fontId="1"/>
  </si>
  <si>
    <t>２　現況</t>
    <rPh sb="2" eb="4">
      <t>ゲンキョウ</t>
    </rPh>
    <phoneticPr fontId="1"/>
  </si>
  <si>
    <t>３　結果</t>
    <rPh sb="2" eb="4">
      <t>ケッカ</t>
    </rPh>
    <phoneticPr fontId="1"/>
  </si>
  <si>
    <t>３　設定</t>
    <rPh sb="2" eb="4">
      <t>セッテイ</t>
    </rPh>
    <phoneticPr fontId="1"/>
  </si>
  <si>
    <t>地位</t>
    <rPh sb="0" eb="2">
      <t>チイ</t>
    </rPh>
    <phoneticPr fontId="1"/>
  </si>
  <si>
    <t>間伐</t>
    <rPh sb="0" eb="2">
      <t>カンバツ</t>
    </rPh>
    <phoneticPr fontId="1"/>
  </si>
  <si>
    <t>Ry基準</t>
    <rPh sb="2" eb="4">
      <t>キジュン</t>
    </rPh>
    <phoneticPr fontId="1"/>
  </si>
  <si>
    <t>開始Ry</t>
    <rPh sb="0" eb="2">
      <t>カイシ</t>
    </rPh>
    <phoneticPr fontId="1"/>
  </si>
  <si>
    <t>終了Ry</t>
    <rPh sb="0" eb="2">
      <t>シュウリョウ</t>
    </rPh>
    <phoneticPr fontId="1"/>
  </si>
  <si>
    <t>設定</t>
    <rPh sb="0" eb="2">
      <t>セッテイ</t>
    </rPh>
    <phoneticPr fontId="1"/>
  </si>
  <si>
    <t>手動</t>
    <rPh sb="0" eb="2">
      <t>シュドウ</t>
    </rPh>
    <phoneticPr fontId="1"/>
  </si>
  <si>
    <t>-</t>
    <phoneticPr fontId="1"/>
  </si>
  <si>
    <t>伐期齢</t>
    <rPh sb="0" eb="3">
      <t>バッキレイ</t>
    </rPh>
    <phoneticPr fontId="1"/>
  </si>
  <si>
    <t>伐期齢</t>
    <rPh sb="0" eb="3">
      <t>バッキレイ</t>
    </rPh>
    <phoneticPr fontId="1"/>
  </si>
  <si>
    <t>(m)</t>
  </si>
  <si>
    <t>(cm)</t>
  </si>
  <si>
    <t>セル内を入力</t>
    <rPh sb="2" eb="3">
      <t>ナイ</t>
    </rPh>
    <rPh sb="4" eb="6">
      <t>ニュウリョク</t>
    </rPh>
    <phoneticPr fontId="1"/>
  </si>
  <si>
    <t>各要素の推移及び比較（参考）</t>
    <rPh sb="0" eb="3">
      <t>カクヨウソ</t>
    </rPh>
    <rPh sb="4" eb="6">
      <t>スイイ</t>
    </rPh>
    <rPh sb="6" eb="7">
      <t>オヨ</t>
    </rPh>
    <rPh sb="8" eb="10">
      <t>ヒカク</t>
    </rPh>
    <rPh sb="11" eb="13">
      <t>サンコウ</t>
    </rPh>
    <phoneticPr fontId="1"/>
  </si>
  <si>
    <t>※</t>
    <phoneticPr fontId="1"/>
  </si>
  <si>
    <t>シミュレート結果（自動）</t>
    <rPh sb="6" eb="8">
      <t>ケッカ</t>
    </rPh>
    <rPh sb="9" eb="11">
      <t>ジドウ</t>
    </rPh>
    <phoneticPr fontId="1"/>
  </si>
  <si>
    <t>※推定地位（詳細）=</t>
    <rPh sb="1" eb="3">
      <t>スイテイ</t>
    </rPh>
    <rPh sb="3" eb="5">
      <t>チイ</t>
    </rPh>
    <rPh sb="6" eb="8">
      <t>ショウサイ</t>
    </rPh>
    <phoneticPr fontId="1"/>
  </si>
  <si>
    <t>（入力した林齢及び樹高から推定）</t>
    <rPh sb="1" eb="3">
      <t>ニュウリョク</t>
    </rPh>
    <rPh sb="5" eb="7">
      <t>リンレイ</t>
    </rPh>
    <rPh sb="7" eb="8">
      <t>オヨ</t>
    </rPh>
    <rPh sb="9" eb="11">
      <t>ジュコウ</t>
    </rPh>
    <rPh sb="13" eb="15">
      <t>スイテイ</t>
    </rPh>
    <phoneticPr fontId="1"/>
  </si>
  <si>
    <t>大分県スギ林分システム収穫表</t>
    <rPh sb="0" eb="3">
      <t>オオイタケン</t>
    </rPh>
    <rPh sb="5" eb="7">
      <t>リンブン</t>
    </rPh>
    <rPh sb="11" eb="13">
      <t>シュウカク</t>
    </rPh>
    <rPh sb="13" eb="14">
      <t>ヒョウ</t>
    </rPh>
    <phoneticPr fontId="1"/>
  </si>
  <si>
    <t>(㎥/ha)</t>
    <phoneticPr fontId="14"/>
  </si>
  <si>
    <t>（年生）</t>
    <rPh sb="1" eb="3">
      <t>ネンセイ</t>
    </rPh>
    <phoneticPr fontId="1"/>
  </si>
  <si>
    <t>（/年）</t>
    <rPh sb="2" eb="3">
      <t>ネン</t>
    </rPh>
    <phoneticPr fontId="1"/>
  </si>
  <si>
    <t>間伐材積</t>
    <rPh sb="0" eb="2">
      <t>カンバツ</t>
    </rPh>
    <rPh sb="2" eb="4">
      <t>ザイセキ</t>
    </rPh>
    <phoneticPr fontId="1"/>
  </si>
  <si>
    <t>（m）</t>
    <phoneticPr fontId="1"/>
  </si>
  <si>
    <t>（cm）</t>
    <phoneticPr fontId="1"/>
  </si>
  <si>
    <t>（本/ha）</t>
    <rPh sb="1" eb="2">
      <t>ホン</t>
    </rPh>
    <phoneticPr fontId="1"/>
  </si>
  <si>
    <t>（㎥）</t>
    <phoneticPr fontId="1"/>
  </si>
  <si>
    <t>（㎥/ha）</t>
    <phoneticPr fontId="1"/>
  </si>
  <si>
    <t>大分県農林水産研究指導センター林業研究部</t>
    <rPh sb="0" eb="3">
      <t>オオイタケン</t>
    </rPh>
    <rPh sb="3" eb="5">
      <t>ノウリン</t>
    </rPh>
    <rPh sb="5" eb="7">
      <t>スイサン</t>
    </rPh>
    <rPh sb="7" eb="9">
      <t>ケンキュウ</t>
    </rPh>
    <rPh sb="9" eb="11">
      <t>シドウ</t>
    </rPh>
    <rPh sb="15" eb="17">
      <t>リンギョウ</t>
    </rPh>
    <rPh sb="17" eb="20">
      <t>ケンキュウブ</t>
    </rPh>
    <phoneticPr fontId="1"/>
  </si>
  <si>
    <t>収穫予測</t>
    <rPh sb="0" eb="2">
      <t>シュウカク</t>
    </rPh>
    <rPh sb="2" eb="4">
      <t>ヨソク</t>
    </rPh>
    <phoneticPr fontId="1"/>
  </si>
  <si>
    <t>収穫予測詳細（a 自動）</t>
    <rPh sb="0" eb="2">
      <t>シュウカク</t>
    </rPh>
    <rPh sb="2" eb="4">
      <t>ヨソク</t>
    </rPh>
    <rPh sb="4" eb="6">
      <t>ショウサイ</t>
    </rPh>
    <rPh sb="9" eb="11">
      <t>ジドウ</t>
    </rPh>
    <phoneticPr fontId="1"/>
  </si>
  <si>
    <t>収穫予測詳細（b 手動）</t>
    <rPh sb="0" eb="2">
      <t>シュウカク</t>
    </rPh>
    <rPh sb="2" eb="4">
      <t>ヨソク</t>
    </rPh>
    <rPh sb="4" eb="6">
      <t>ショウサイ</t>
    </rPh>
    <rPh sb="9" eb="11">
      <t>シュドウ</t>
    </rPh>
    <phoneticPr fontId="1"/>
  </si>
  <si>
    <t>【準備】</t>
    <rPh sb="1" eb="3">
      <t>ジュンビ</t>
    </rPh>
    <phoneticPr fontId="1"/>
  </si>
  <si>
    <t>密度、平均樹高について</t>
    <rPh sb="0" eb="2">
      <t>ミツド</t>
    </rPh>
    <rPh sb="3" eb="5">
      <t>ヘイキン</t>
    </rPh>
    <rPh sb="5" eb="7">
      <t>ジュコウ</t>
    </rPh>
    <phoneticPr fontId="1"/>
  </si>
  <si>
    <t>事前に測定が必要</t>
    <rPh sb="0" eb="2">
      <t>ジゼン</t>
    </rPh>
    <rPh sb="3" eb="5">
      <t>ソクテイ</t>
    </rPh>
    <rPh sb="6" eb="8">
      <t>ヒツヨウ</t>
    </rPh>
    <phoneticPr fontId="1"/>
  </si>
  <si>
    <t>【手順】</t>
    <rPh sb="1" eb="3">
      <t>テジュン</t>
    </rPh>
    <phoneticPr fontId="1"/>
  </si>
  <si>
    <t>１，２の黄色セルを入力</t>
    <rPh sb="4" eb="6">
      <t>キイロ</t>
    </rPh>
    <rPh sb="9" eb="11">
      <t>ニュウリョク</t>
    </rPh>
    <phoneticPr fontId="1"/>
  </si>
  <si>
    <t>②</t>
    <phoneticPr fontId="1"/>
  </si>
  <si>
    <t>地位が算出されるので</t>
    <rPh sb="0" eb="2">
      <t>チイ</t>
    </rPh>
    <rPh sb="3" eb="5">
      <t>サンシュツ</t>
    </rPh>
    <phoneticPr fontId="1"/>
  </si>
  <si>
    <t>③</t>
    <phoneticPr fontId="1"/>
  </si>
  <si>
    <t>①</t>
    <phoneticPr fontId="1"/>
  </si>
  <si>
    <t>３の地位、伐期齢を入力</t>
    <rPh sb="2" eb="4">
      <t>チイ</t>
    </rPh>
    <rPh sb="5" eb="8">
      <t>バッキレイ</t>
    </rPh>
    <rPh sb="9" eb="11">
      <t>ニュウリョク</t>
    </rPh>
    <phoneticPr fontId="1"/>
  </si>
  <si>
    <t>④</t>
    <phoneticPr fontId="1"/>
  </si>
  <si>
    <t>a 収量比数管理による設定</t>
    <rPh sb="2" eb="4">
      <t>シュウリョウ</t>
    </rPh>
    <rPh sb="4" eb="5">
      <t>ヒ</t>
    </rPh>
    <rPh sb="5" eb="6">
      <t>スウ</t>
    </rPh>
    <rPh sb="6" eb="8">
      <t>カンリ</t>
    </rPh>
    <rPh sb="11" eb="13">
      <t>セッテイ</t>
    </rPh>
    <phoneticPr fontId="1"/>
  </si>
  <si>
    <t>b 手動による設定</t>
    <rPh sb="2" eb="4">
      <t>シュドウ</t>
    </rPh>
    <rPh sb="7" eb="9">
      <t>セッテイ</t>
    </rPh>
    <phoneticPr fontId="1"/>
  </si>
  <si>
    <t>間伐計画について</t>
    <rPh sb="0" eb="2">
      <t>カンバツ</t>
    </rPh>
    <rPh sb="2" eb="4">
      <t>ケイカク</t>
    </rPh>
    <phoneticPr fontId="1"/>
  </si>
  <si>
    <t>黄色セルを入力すると</t>
    <rPh sb="0" eb="2">
      <t>キイロ</t>
    </rPh>
    <rPh sb="5" eb="7">
      <t>ニュウリョク</t>
    </rPh>
    <phoneticPr fontId="1"/>
  </si>
  <si>
    <t>間伐林齢と間伐率が</t>
    <rPh sb="0" eb="2">
      <t>カンバツ</t>
    </rPh>
    <rPh sb="2" eb="4">
      <t>リンレイ</t>
    </rPh>
    <rPh sb="5" eb="7">
      <t>カンバツ</t>
    </rPh>
    <rPh sb="7" eb="8">
      <t>リツ</t>
    </rPh>
    <phoneticPr fontId="1"/>
  </si>
  <si>
    <t>自動で計算される</t>
    <rPh sb="0" eb="2">
      <t>ジドウ</t>
    </rPh>
    <rPh sb="3" eb="5">
      <t>ケイサン</t>
    </rPh>
    <phoneticPr fontId="1"/>
  </si>
  <si>
    <t>間伐林齢と間伐率を</t>
    <rPh sb="0" eb="2">
      <t>カンバツ</t>
    </rPh>
    <rPh sb="2" eb="4">
      <t>リンレイ</t>
    </rPh>
    <rPh sb="5" eb="7">
      <t>カンバツ</t>
    </rPh>
    <rPh sb="7" eb="8">
      <t>リツ</t>
    </rPh>
    <phoneticPr fontId="1"/>
  </si>
  <si>
    <t>手動で入力する</t>
    <rPh sb="0" eb="2">
      <t>シュドウ</t>
    </rPh>
    <rPh sb="3" eb="5">
      <t>ニュウリョク</t>
    </rPh>
    <phoneticPr fontId="1"/>
  </si>
  <si>
    <t>⑤</t>
    <phoneticPr fontId="1"/>
  </si>
  <si>
    <t>abの結果（参考）が下の</t>
    <rPh sb="3" eb="5">
      <t>ケッカ</t>
    </rPh>
    <rPh sb="6" eb="8">
      <t>サンコウ</t>
    </rPh>
    <rPh sb="10" eb="11">
      <t>シタ</t>
    </rPh>
    <phoneticPr fontId="1"/>
  </si>
  <si>
    <t>グラフに出力される</t>
    <rPh sb="4" eb="6">
      <t>シュツリョク</t>
    </rPh>
    <phoneticPr fontId="1"/>
  </si>
  <si>
    <t>問題なければ設定完了</t>
    <rPh sb="0" eb="2">
      <t>モンダイ</t>
    </rPh>
    <rPh sb="6" eb="8">
      <t>セッテイ</t>
    </rPh>
    <rPh sb="8" eb="10">
      <t>カンリョウ</t>
    </rPh>
    <phoneticPr fontId="1"/>
  </si>
  <si>
    <t>結果を確認</t>
    <rPh sb="0" eb="2">
      <t>ケッカ</t>
    </rPh>
    <rPh sb="3" eb="5">
      <t>カクニン</t>
    </rPh>
    <phoneticPr fontId="1"/>
  </si>
  <si>
    <t>a,bについて入力</t>
    <rPh sb="7" eb="9">
      <t>ニュウリョク</t>
    </rPh>
    <phoneticPr fontId="1"/>
  </si>
  <si>
    <t>（どちらか片方でよい）</t>
    <rPh sb="5" eb="7">
      <t>カタホウ</t>
    </rPh>
    <phoneticPr fontId="1"/>
  </si>
  <si>
    <t>今後も要望に応じて順次改訂を進める予定です。</t>
    <rPh sb="0" eb="2">
      <t>コンゴ</t>
    </rPh>
    <rPh sb="3" eb="5">
      <t>ヨウボウ</t>
    </rPh>
    <rPh sb="6" eb="7">
      <t>オウ</t>
    </rPh>
    <rPh sb="9" eb="11">
      <t>ジュンジ</t>
    </rPh>
    <rPh sb="11" eb="13">
      <t>カイテイ</t>
    </rPh>
    <rPh sb="14" eb="15">
      <t>スス</t>
    </rPh>
    <rPh sb="17" eb="19">
      <t>ヨテイ</t>
    </rPh>
    <phoneticPr fontId="1"/>
  </si>
  <si>
    <t>【Q＆A等】</t>
    <rPh sb="4" eb="5">
      <t>トウ</t>
    </rPh>
    <phoneticPr fontId="1"/>
  </si>
  <si>
    <t>【問い合わせ先】</t>
    <rPh sb="1" eb="2">
      <t>ト</t>
    </rPh>
    <rPh sb="3" eb="4">
      <t>ア</t>
    </rPh>
    <rPh sb="6" eb="7">
      <t>サキ</t>
    </rPh>
    <phoneticPr fontId="1"/>
  </si>
  <si>
    <t>・追加予定</t>
    <rPh sb="1" eb="3">
      <t>ツイカ</t>
    </rPh>
    <rPh sb="3" eb="5">
      <t>ヨテイ</t>
    </rPh>
    <phoneticPr fontId="1"/>
  </si>
  <si>
    <t>大分県日田市大字有田字佐寺原３５</t>
    <rPh sb="0" eb="3">
      <t>オオイタケン</t>
    </rPh>
    <rPh sb="3" eb="6">
      <t>ヒタシ</t>
    </rPh>
    <rPh sb="6" eb="8">
      <t>オオアザ</t>
    </rPh>
    <rPh sb="8" eb="10">
      <t>アリタ</t>
    </rPh>
    <rPh sb="10" eb="11">
      <t>アザ</t>
    </rPh>
    <rPh sb="11" eb="12">
      <t>サ</t>
    </rPh>
    <rPh sb="12" eb="14">
      <t>テラハラ</t>
    </rPh>
    <phoneticPr fontId="1"/>
  </si>
  <si>
    <t>〒877-1363</t>
    <phoneticPr fontId="1"/>
  </si>
  <si>
    <t>電話：0973-23-2146</t>
    <rPh sb="0" eb="2">
      <t>デンワ</t>
    </rPh>
    <phoneticPr fontId="1"/>
  </si>
  <si>
    <t>FAX：0973-23-6769</t>
    <phoneticPr fontId="1"/>
  </si>
  <si>
    <t>【その他】</t>
    <rPh sb="3" eb="4">
      <t>タ</t>
    </rPh>
    <phoneticPr fontId="1"/>
  </si>
  <si>
    <t>もし他県等で本システム収穫表を使いたい機関がありましたら連絡ください。</t>
    <rPh sb="2" eb="4">
      <t>タケン</t>
    </rPh>
    <rPh sb="4" eb="5">
      <t>トウ</t>
    </rPh>
    <rPh sb="6" eb="7">
      <t>ホン</t>
    </rPh>
    <rPh sb="11" eb="13">
      <t>シュウカク</t>
    </rPh>
    <rPh sb="13" eb="14">
      <t>ヒョウ</t>
    </rPh>
    <rPh sb="15" eb="16">
      <t>ツカ</t>
    </rPh>
    <rPh sb="19" eb="21">
      <t>キカン</t>
    </rPh>
    <rPh sb="28" eb="30">
      <t>レンラク</t>
    </rPh>
    <phoneticPr fontId="1"/>
  </si>
  <si>
    <t>（適用には密度管理図及び地位曲線に係る数式が必要）</t>
    <rPh sb="1" eb="3">
      <t>テキヨウ</t>
    </rPh>
    <rPh sb="5" eb="7">
      <t>ミツド</t>
    </rPh>
    <rPh sb="7" eb="10">
      <t>カンリズ</t>
    </rPh>
    <rPh sb="10" eb="11">
      <t>オヨ</t>
    </rPh>
    <rPh sb="12" eb="14">
      <t>チイ</t>
    </rPh>
    <rPh sb="14" eb="16">
      <t>キョクセン</t>
    </rPh>
    <rPh sb="17" eb="18">
      <t>カカ</t>
    </rPh>
    <rPh sb="19" eb="21">
      <t>スウシキ</t>
    </rPh>
    <rPh sb="22" eb="24">
      <t>ヒツヨウ</t>
    </rPh>
    <phoneticPr fontId="1"/>
  </si>
  <si>
    <t>スギ林分　主伐・間伐シミュレーション　総括表</t>
    <rPh sb="2" eb="4">
      <t>リンブン</t>
    </rPh>
    <rPh sb="5" eb="7">
      <t>シュバツ</t>
    </rPh>
    <rPh sb="8" eb="10">
      <t>カンバツ</t>
    </rPh>
    <rPh sb="19" eb="21">
      <t>ソウカツ</t>
    </rPh>
    <rPh sb="21" eb="22">
      <t>ヒョウ</t>
    </rPh>
    <phoneticPr fontId="1"/>
  </si>
  <si>
    <t>大分県システム収穫表　説明書（スギ・ヒノキ共通）</t>
    <rPh sb="0" eb="3">
      <t>オオイタケン</t>
    </rPh>
    <rPh sb="7" eb="9">
      <t>シュウカク</t>
    </rPh>
    <rPh sb="9" eb="10">
      <t>ヒョウ</t>
    </rPh>
    <rPh sb="11" eb="14">
      <t>セツメイショ</t>
    </rPh>
    <rPh sb="21" eb="23">
      <t>キョウツウ</t>
    </rPh>
    <phoneticPr fontId="1"/>
  </si>
  <si>
    <t>※林齢は120年生まで</t>
    <rPh sb="1" eb="3">
      <t>リンレイ</t>
    </rPh>
    <rPh sb="7" eb="9">
      <t>ネンセイ</t>
    </rPh>
    <phoneticPr fontId="1"/>
  </si>
  <si>
    <t>※伐期齢は120年生まで</t>
    <rPh sb="1" eb="4">
      <t>バッキレイ</t>
    </rPh>
    <rPh sb="8" eb="10">
      <t>ネンセイ</t>
    </rPh>
    <phoneticPr fontId="1"/>
  </si>
  <si>
    <t>※地位は近隣の林分から</t>
    <rPh sb="1" eb="3">
      <t>チイ</t>
    </rPh>
    <rPh sb="4" eb="6">
      <t>キンリン</t>
    </rPh>
    <rPh sb="7" eb="9">
      <t>リンブン</t>
    </rPh>
    <phoneticPr fontId="1"/>
  </si>
  <si>
    <t>推定したものでも可</t>
    <rPh sb="0" eb="2">
      <t>スイテイ</t>
    </rPh>
    <rPh sb="8" eb="9">
      <t>カ</t>
    </rPh>
    <phoneticPr fontId="1"/>
  </si>
  <si>
    <t>大分県農林水産研究指導センター　林業研究部　森林チーム　（作成者：松本純）</t>
    <rPh sb="0" eb="3">
      <t>オオイタケン</t>
    </rPh>
    <rPh sb="3" eb="5">
      <t>ノウリン</t>
    </rPh>
    <rPh sb="5" eb="7">
      <t>スイサン</t>
    </rPh>
    <rPh sb="7" eb="9">
      <t>ケンキュウ</t>
    </rPh>
    <rPh sb="9" eb="11">
      <t>シドウ</t>
    </rPh>
    <rPh sb="16" eb="18">
      <t>リンギョウ</t>
    </rPh>
    <rPh sb="18" eb="21">
      <t>ケンキュウブ</t>
    </rPh>
    <rPh sb="22" eb="24">
      <t>シンリン</t>
    </rPh>
    <rPh sb="29" eb="32">
      <t>サクセイシャ</t>
    </rPh>
    <rPh sb="33" eb="35">
      <t>マツモト</t>
    </rPh>
    <rPh sb="35" eb="36">
      <t>ジュン</t>
    </rPh>
    <phoneticPr fontId="1"/>
  </si>
  <si>
    <t>※日付のみ編集可能</t>
    <rPh sb="1" eb="3">
      <t>ヒヅケ</t>
    </rPh>
    <rPh sb="5" eb="7">
      <t>ヘンシュウ</t>
    </rPh>
    <rPh sb="7" eb="9">
      <t>カノウ</t>
    </rPh>
    <phoneticPr fontId="1"/>
  </si>
  <si>
    <t>日田市</t>
    <rPh sb="0" eb="3">
      <t>ヒタシ</t>
    </rPh>
    <phoneticPr fontId="1"/>
  </si>
  <si>
    <t>有田</t>
    <rPh sb="0" eb="2">
      <t>アリタ</t>
    </rPh>
    <phoneticPr fontId="1"/>
  </si>
  <si>
    <t>佐寺原</t>
    <rPh sb="0" eb="1">
      <t>サ</t>
    </rPh>
    <rPh sb="1" eb="3">
      <t>テラハラ</t>
    </rPh>
    <phoneticPr fontId="1"/>
  </si>
  <si>
    <t>ｱ</t>
    <phoneticPr fontId="1"/>
  </si>
  <si>
    <t>植栽時密度</t>
    <rPh sb="0" eb="2">
      <t>ショクサイ</t>
    </rPh>
    <rPh sb="2" eb="3">
      <t>ジ</t>
    </rPh>
    <rPh sb="3" eb="5">
      <t>ミツド</t>
    </rPh>
    <phoneticPr fontId="1"/>
  </si>
  <si>
    <t>必要に応じ３の</t>
    <rPh sb="0" eb="2">
      <t>ヒツヨウ</t>
    </rPh>
    <rPh sb="3" eb="4">
      <t>オウ</t>
    </rPh>
    <phoneticPr fontId="1"/>
  </si>
  <si>
    <t>自然枯死率を修正</t>
    <rPh sb="0" eb="2">
      <t>シゼン</t>
    </rPh>
    <rPh sb="2" eb="4">
      <t>コシ</t>
    </rPh>
    <rPh sb="4" eb="5">
      <t>リツ</t>
    </rPh>
    <rPh sb="6" eb="8">
      <t>シュウセイ</t>
    </rPh>
    <phoneticPr fontId="1"/>
  </si>
  <si>
    <t>※10年生未満の林分は</t>
    <rPh sb="3" eb="5">
      <t>ネンセイ</t>
    </rPh>
    <rPh sb="5" eb="7">
      <t>ミマン</t>
    </rPh>
    <rPh sb="8" eb="10">
      <t>リンブン</t>
    </rPh>
    <phoneticPr fontId="1"/>
  </si>
  <si>
    <t>近隣の林分から推定した</t>
    <rPh sb="0" eb="2">
      <t>キンリン</t>
    </rPh>
    <rPh sb="3" eb="5">
      <t>リンブン</t>
    </rPh>
    <rPh sb="7" eb="9">
      <t>スイテイ</t>
    </rPh>
    <phoneticPr fontId="1"/>
  </si>
  <si>
    <t>地位を用いること</t>
    <rPh sb="0" eb="2">
      <t>チイ</t>
    </rPh>
    <rPh sb="3" eb="4">
      <t>モチ</t>
    </rPh>
    <phoneticPr fontId="1"/>
  </si>
  <si>
    <t>ver.1.1.0</t>
    <phoneticPr fontId="1"/>
  </si>
  <si>
    <t>※初期値は0％/年</t>
    <rPh sb="1" eb="4">
      <t>ショキチ</t>
    </rPh>
    <rPh sb="8" eb="9">
      <t>ネン</t>
    </rPh>
    <phoneticPr fontId="1"/>
  </si>
  <si>
    <t>※間伐林齢と間伐率を下表に直接入力</t>
    <rPh sb="1" eb="3">
      <t>カンバツ</t>
    </rPh>
    <rPh sb="3" eb="5">
      <t>リンレイ</t>
    </rPh>
    <rPh sb="6" eb="8">
      <t>カンバツ</t>
    </rPh>
    <rPh sb="8" eb="9">
      <t>リツ</t>
    </rPh>
    <rPh sb="10" eb="12">
      <t>カヒョウ</t>
    </rPh>
    <rPh sb="13" eb="15">
      <t>チョクセツ</t>
    </rPh>
    <rPh sb="15" eb="17">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</si>
</sst>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_);[Red]\(0\)"/>
    <numFmt numFmtId="177" formatCode="0.00_ "/>
    <numFmt numFmtId="178" formatCode="0.0000_ "/>
    <numFmt numFmtId="179" formatCode="0_ "/>
    <numFmt numFmtId="180" formatCode="0.00_);[Red]\(0.00\)"/>
    <numFmt numFmtId="181" formatCode="0.0_ "/>
    <numFmt numFmtId="182" formatCode="0.0_);[Red]\(0.0\)"/>
    <numFmt numFmtId="183" formatCode="0.000_ "/>
    <numFmt numFmtId="184" formatCode="0.00000_);[Red]\(0.00000\)"/>
    <numFmt numFmtId="185" formatCode="0.0%"/>
    <numFmt numFmtId="186" formatCode="#,##0.0_);[Red]\(#,##0.0\)"/>
    <numFmt numFmtId="187" formatCode="#,##0.00_);[Red]\(#,##0.00\)"/>
    <numFmt numFmtId="188" formatCode="#,##0.0;[Red]\-#,##0.0"/>
    <numFmt numFmtId="189" formatCode="#,##0_);[Red]\(#,##0\)"/>
    <numFmt numFmtId="190" formatCode="#,##0.00_ ;[Red]\-#,##0.00\ "/>
    <numFmt numFmtId="191" formatCode="#,##0.0_ ;[Red]\-#,##0.0\ "/>
    <numFmt numFmtId="192" formatCode="#,##0_ "/>
  </numFmts>
  <fonts count="41">
    <font>
      <sz val="11"/>
      <color theme="1"/>
      <name val="ＭＳ Ｐゴシック"/>
      <family val="2"/>
      <charset val="128"/>
    </font>
    <font>
      <sz val="6"/>
      <name val="ＭＳ Ｐゴシック"/>
      <family val="2"/>
      <charset val="128"/>
    </font>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rgb="FFFF0000"/>
      <name val="游ゴシック"/>
      <family val="2"/>
      <charset val="128"/>
      <scheme val="minor"/>
    </font>
    <font>
      <vertAlign val="subscript"/>
      <sz val="11"/>
      <color theme="1"/>
      <name val="ＭＳ Ｐゴシック"/>
      <family val="3"/>
      <charset val="128"/>
    </font>
    <font>
      <sz val="11"/>
      <color rgb="FFFF0000"/>
      <name val="ＭＳ Ｐゴシック"/>
      <family val="2"/>
      <charset val="128"/>
    </font>
    <font>
      <b/>
      <sz val="11"/>
      <color theme="1"/>
      <name val="ＭＳ Ｐゴシック"/>
      <family val="3"/>
      <charset val="128"/>
    </font>
    <font>
      <sz val="11"/>
      <color rgb="FF0000FF"/>
      <name val="ＭＳ Ｐゴシック"/>
      <family val="3"/>
      <charset val="128"/>
    </font>
    <font>
      <b/>
      <sz val="11"/>
      <color rgb="FFFF0000"/>
      <name val="ＭＳ Ｐゴシック"/>
      <family val="3"/>
      <charset val="128"/>
    </font>
    <font>
      <b/>
      <sz val="16"/>
      <color rgb="FFFF0000"/>
      <name val="游ゴシック"/>
      <family val="3"/>
      <charset val="128"/>
      <scheme val="minor"/>
    </font>
    <font>
      <sz val="11"/>
      <color theme="1"/>
      <name val="游ゴシック"/>
      <family val="3"/>
      <charset val="128"/>
      <scheme val="minor"/>
    </font>
    <font>
      <sz val="16"/>
      <color rgb="FF0000FF"/>
      <name val="ＭＳ Ｐゴシック"/>
      <family val="3"/>
      <charset val="128"/>
    </font>
    <font>
      <sz val="6"/>
      <name val="ＭＳ 明朝"/>
      <family val="1"/>
      <charset val="128"/>
    </font>
    <font>
      <b/>
      <sz val="11"/>
      <name val="ＭＳ Ｐゴシック"/>
      <family val="3"/>
      <charset val="128"/>
    </font>
    <font>
      <sz val="16"/>
      <color rgb="FF0000FF"/>
      <name val="ＭＳ Ｐゴシック"/>
      <family val="2"/>
      <charset val="128"/>
    </font>
    <font>
      <vertAlign val="subscript"/>
      <sz val="11"/>
      <color theme="1"/>
      <name val="游ゴシック"/>
      <family val="3"/>
      <charset val="128"/>
      <scheme val="minor"/>
    </font>
    <font>
      <vertAlign val="superscript"/>
      <sz val="11"/>
      <color theme="1"/>
      <name val="ＭＳ Ｐゴシック"/>
      <family val="3"/>
      <charset val="128"/>
    </font>
    <font>
      <sz val="11"/>
      <color rgb="FFFF0000"/>
      <name val="ＭＳ Ｐゴシック"/>
      <family val="3"/>
      <charset val="128"/>
    </font>
    <font>
      <b/>
      <sz val="18"/>
      <color rgb="FFFF0000"/>
      <name val="ＭＳ Ｐゴシック"/>
      <family val="3"/>
      <charset val="128"/>
    </font>
    <font>
      <sz val="10"/>
      <color theme="1"/>
      <name val="ＭＳ Ｐゴシック"/>
      <family val="2"/>
      <charset val="128"/>
    </font>
    <font>
      <sz val="10"/>
      <color rgb="FFFF0000"/>
      <name val="ＭＳ Ｐゴシック"/>
      <family val="3"/>
      <charset val="128"/>
    </font>
    <font>
      <sz val="9"/>
      <color theme="1"/>
      <name val="ＭＳ Ｐゴシック"/>
      <family val="3"/>
      <charset val="128"/>
    </font>
    <font>
      <sz val="10"/>
      <color theme="1"/>
      <name val="ＭＳ Ｐゴシック"/>
      <family val="3"/>
      <charset val="128"/>
    </font>
    <font>
      <b/>
      <sz val="10"/>
      <color theme="1"/>
      <name val="ＭＳ Ｐゴシック"/>
      <family val="3"/>
      <charset val="128"/>
    </font>
    <font>
      <b/>
      <u/>
      <sz val="10"/>
      <color theme="1"/>
      <name val="ＭＳ Ｐゴシック"/>
      <family val="3"/>
      <charset val="128"/>
    </font>
    <font>
      <sz val="10"/>
      <name val="ＭＳ Ｐゴシック"/>
      <family val="3"/>
      <charset val="128"/>
    </font>
    <font>
      <b/>
      <sz val="10"/>
      <name val="ＭＳ Ｐゴシック"/>
      <family val="3"/>
      <charset val="128"/>
    </font>
    <font>
      <b/>
      <sz val="10"/>
      <color rgb="FFFF0000"/>
      <name val="ＭＳ Ｐゴシック"/>
      <family val="3"/>
      <charset val="128"/>
    </font>
    <font>
      <u/>
      <sz val="16"/>
      <color theme="1"/>
      <name val="ＤＦ平成ゴシック体W5"/>
      <family val="3"/>
      <charset val="128"/>
    </font>
    <font>
      <sz val="10"/>
      <color rgb="FFFFFF00"/>
      <name val="ＭＳ Ｐゴシック"/>
      <family val="3"/>
      <charset val="128"/>
    </font>
    <font>
      <sz val="14"/>
      <color theme="1"/>
      <name val="ＭＳ Ｐゴシック"/>
      <family val="2"/>
      <charset val="128"/>
    </font>
    <font>
      <sz val="10"/>
      <color rgb="FFFF0000"/>
      <name val="ＭＳ Ｐゴシック"/>
      <family val="2"/>
      <charset val="128"/>
    </font>
    <font>
      <sz val="10"/>
      <color rgb="FF0000FF"/>
      <name val="ＭＳ Ｐゴシック"/>
      <family val="3"/>
      <charset val="128"/>
    </font>
    <font>
      <sz val="16"/>
      <color theme="1"/>
      <name val="ＤＨＰ平成明朝体W7"/>
      <family val="1"/>
      <charset val="128"/>
    </font>
    <font>
      <sz val="11"/>
      <color theme="0"/>
      <name val="ＭＳ Ｐゴシック"/>
      <family val="3"/>
      <charset val="128"/>
    </font>
    <font>
      <sz val="10"/>
      <color theme="0"/>
      <name val="ＭＳ Ｐゴシック"/>
      <family val="3"/>
      <charset val="128"/>
    </font>
    <font>
      <sz val="12"/>
      <color theme="0"/>
      <name val="ＭＳ Ｐゴシック"/>
      <family val="2"/>
      <charset val="128"/>
    </font>
    <font>
      <sz val="12"/>
      <color theme="1"/>
      <name val="ＭＳ Ｐゴシック"/>
      <family val="3"/>
      <charset val="128"/>
    </font>
    <font>
      <sz val="12"/>
      <color theme="0"/>
      <name val="ＭＳ Ｐゴシック"/>
      <family val="3"/>
      <charset val="128"/>
    </font>
  </fonts>
  <fills count="10">
    <fill>
      <patternFill patternType="none"/>
    </fill>
    <fill>
      <patternFill patternType="gray125"/>
    </fill>
    <fill>
      <patternFill patternType="solid">
        <fgColor rgb="FF99FFCC"/>
        <bgColor indexed="64"/>
      </patternFill>
    </fill>
    <fill>
      <patternFill patternType="solid">
        <fgColor rgb="FFFFFF00"/>
        <bgColor indexed="64"/>
      </patternFill>
    </fill>
    <fill>
      <patternFill patternType="solid">
        <fgColor rgb="FFCCFFFF"/>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FF99"/>
        <bgColor indexed="64"/>
      </patternFill>
    </fill>
    <fill>
      <patternFill patternType="solid">
        <fgColor rgb="FFFFCCFF"/>
        <bgColor indexed="64"/>
      </patternFill>
    </fill>
    <fill>
      <patternFill patternType="solid">
        <fgColor theme="1"/>
        <bgColor indexed="64"/>
      </patternFill>
    </fill>
  </fills>
  <borders count="78">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rgb="FFFF0000"/>
      </left>
      <right style="medium">
        <color rgb="FFFF0000"/>
      </right>
      <top style="medium">
        <color rgb="FFFF0000"/>
      </top>
      <bottom style="medium">
        <color rgb="FFFF0000"/>
      </bottom>
      <diagonal/>
    </border>
    <border>
      <left/>
      <right/>
      <top style="thin">
        <color auto="1"/>
      </top>
      <bottom style="thin">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diagonal/>
    </border>
    <border>
      <left/>
      <right/>
      <top/>
      <bottom style="medium">
        <color rgb="FFFF0000"/>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diagonal/>
    </border>
    <border>
      <left style="mediumDashDot">
        <color rgb="FFFF0000"/>
      </left>
      <right style="hair">
        <color auto="1"/>
      </right>
      <top style="mediumDashDot">
        <color rgb="FFFF0000"/>
      </top>
      <bottom/>
      <diagonal/>
    </border>
    <border>
      <left style="hair">
        <color auto="1"/>
      </left>
      <right style="hair">
        <color auto="1"/>
      </right>
      <top style="mediumDashDot">
        <color rgb="FFFF0000"/>
      </top>
      <bottom/>
      <diagonal/>
    </border>
    <border>
      <left style="hair">
        <color auto="1"/>
      </left>
      <right style="mediumDashDot">
        <color rgb="FFFF0000"/>
      </right>
      <top style="mediumDashDot">
        <color rgb="FFFF0000"/>
      </top>
      <bottom/>
      <diagonal/>
    </border>
    <border>
      <left style="mediumDashDot">
        <color rgb="FFFF0000"/>
      </left>
      <right style="hair">
        <color auto="1"/>
      </right>
      <top/>
      <bottom/>
      <diagonal/>
    </border>
    <border>
      <left style="hair">
        <color auto="1"/>
      </left>
      <right style="mediumDashDot">
        <color rgb="FFFF0000"/>
      </right>
      <top/>
      <bottom/>
      <diagonal/>
    </border>
    <border>
      <left style="mediumDashDot">
        <color rgb="FFFF0000"/>
      </left>
      <right style="hair">
        <color auto="1"/>
      </right>
      <top/>
      <bottom style="mediumDashDot">
        <color rgb="FFFF0000"/>
      </bottom>
      <diagonal/>
    </border>
    <border>
      <left style="hair">
        <color auto="1"/>
      </left>
      <right style="hair">
        <color auto="1"/>
      </right>
      <top/>
      <bottom style="mediumDashDot">
        <color rgb="FFFF0000"/>
      </bottom>
      <diagonal/>
    </border>
    <border>
      <left style="hair">
        <color auto="1"/>
      </left>
      <right style="mediumDashDot">
        <color rgb="FFFF0000"/>
      </right>
      <top/>
      <bottom style="mediumDashDot">
        <color rgb="FFFF0000"/>
      </bottom>
      <diagonal/>
    </border>
    <border>
      <left/>
      <right style="hair">
        <color auto="1"/>
      </right>
      <top style="mediumDashDot">
        <color rgb="FFFF0000"/>
      </top>
      <bottom/>
      <diagonal/>
    </border>
    <border>
      <left/>
      <right style="hair">
        <color auto="1"/>
      </right>
      <top/>
      <bottom/>
      <diagonal/>
    </border>
    <border>
      <left/>
      <right style="hair">
        <color auto="1"/>
      </right>
      <top/>
      <bottom style="mediumDashDot">
        <color rgb="FFFF0000"/>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top style="hair">
        <color indexed="64"/>
      </top>
      <bottom style="thin">
        <color auto="1"/>
      </bottom>
      <diagonal/>
    </border>
    <border>
      <left/>
      <right/>
      <top style="hair">
        <color auto="1"/>
      </top>
      <bottom style="hair">
        <color auto="1"/>
      </bottom>
      <diagonal/>
    </border>
    <border>
      <left/>
      <right/>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diagonal/>
    </border>
    <border>
      <left style="thin">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thin">
        <color auto="1"/>
      </right>
      <top/>
      <bottom style="hair">
        <color auto="1"/>
      </bottom>
      <diagonal/>
    </border>
    <border>
      <left/>
      <right style="hair">
        <color auto="1"/>
      </right>
      <top/>
      <bottom style="thin">
        <color auto="1"/>
      </bottom>
      <diagonal/>
    </border>
    <border>
      <left/>
      <right style="thin">
        <color auto="1"/>
      </right>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auto="1"/>
      </right>
      <top style="thin">
        <color auto="1"/>
      </top>
      <bottom/>
      <diagonal/>
    </border>
  </borders>
  <cellStyleXfs count="2">
    <xf numFmtId="0" fontId="0" fillId="0" borderId="0">
      <alignment vertical="center"/>
    </xf>
    <xf numFmtId="0" fontId="2" fillId="0" borderId="0">
      <alignment vertical="center"/>
    </xf>
  </cellStyleXfs>
  <cellXfs count="452">
    <xf numFmtId="0" fontId="0" fillId="0" borderId="0" xfId="0">
      <alignment vertical="center"/>
    </xf>
    <xf numFmtId="0" fontId="2" fillId="0" borderId="1" xfId="1" applyFont="1" applyFill="1" applyBorder="1" applyAlignment="1">
      <alignment horizontal="center" vertical="center" shrinkToFit="1"/>
    </xf>
    <xf numFmtId="0" fontId="2" fillId="2" borderId="1" xfId="1" applyFill="1" applyBorder="1" applyAlignment="1">
      <alignment horizontal="center" vertical="center"/>
    </xf>
    <xf numFmtId="0" fontId="2" fillId="3" borderId="2" xfId="1" quotePrefix="1" applyFill="1" applyBorder="1" applyAlignment="1">
      <alignment horizontal="center" vertical="center"/>
    </xf>
    <xf numFmtId="177" fontId="2" fillId="0" borderId="0" xfId="1" applyNumberFormat="1" applyBorder="1" applyAlignment="1">
      <alignment horizontal="center" vertical="center"/>
    </xf>
    <xf numFmtId="0" fontId="2" fillId="0" borderId="0" xfId="1" applyAlignment="1">
      <alignment horizontal="center" vertical="center"/>
    </xf>
    <xf numFmtId="0" fontId="2" fillId="0" borderId="0" xfId="1">
      <alignment vertical="center"/>
    </xf>
    <xf numFmtId="0" fontId="2" fillId="0" borderId="4" xfId="1" applyFont="1" applyFill="1" applyBorder="1" applyAlignment="1">
      <alignment horizontal="center" vertical="center" shrinkToFit="1"/>
    </xf>
    <xf numFmtId="0" fontId="2" fillId="2" borderId="4" xfId="1" applyFill="1" applyBorder="1" applyAlignment="1">
      <alignment horizontal="center" vertical="center" shrinkToFit="1"/>
    </xf>
    <xf numFmtId="0" fontId="2" fillId="3" borderId="5" xfId="1" applyFill="1" applyBorder="1" applyAlignment="1">
      <alignment horizontal="center" vertical="center" shrinkToFit="1"/>
    </xf>
    <xf numFmtId="0" fontId="2" fillId="0" borderId="3" xfId="1" quotePrefix="1" applyNumberFormat="1" applyFill="1" applyBorder="1" applyAlignment="1">
      <alignment horizontal="center" vertical="center" shrinkToFit="1"/>
    </xf>
    <xf numFmtId="0" fontId="2" fillId="0" borderId="3" xfId="1" applyNumberFormat="1" applyFill="1" applyBorder="1" applyAlignment="1">
      <alignment horizontal="center" vertical="center" shrinkToFit="1"/>
    </xf>
    <xf numFmtId="177" fontId="2" fillId="0" borderId="0" xfId="1" applyNumberFormat="1" applyBorder="1" applyAlignment="1">
      <alignment horizontal="center" vertical="center" shrinkToFit="1"/>
    </xf>
    <xf numFmtId="0" fontId="2" fillId="0" borderId="0" xfId="1" applyAlignment="1">
      <alignment horizontal="center" vertical="center" shrinkToFit="1"/>
    </xf>
    <xf numFmtId="0" fontId="2" fillId="0" borderId="3" xfId="1" applyFill="1" applyBorder="1" applyAlignment="1">
      <alignment horizontal="center" vertical="center"/>
    </xf>
    <xf numFmtId="177" fontId="2" fillId="0" borderId="3" xfId="1" applyNumberFormat="1" applyBorder="1" applyAlignment="1">
      <alignment horizontal="center" vertical="center"/>
    </xf>
    <xf numFmtId="176" fontId="2" fillId="0" borderId="3" xfId="1" applyNumberFormat="1" applyBorder="1" applyAlignment="1">
      <alignment horizontal="center" vertical="center"/>
    </xf>
    <xf numFmtId="0" fontId="2" fillId="0" borderId="0" xfId="1" applyBorder="1">
      <alignment vertical="center"/>
    </xf>
    <xf numFmtId="0" fontId="2" fillId="0" borderId="0" xfId="1" applyFill="1" applyAlignment="1">
      <alignment horizontal="center" vertical="center"/>
    </xf>
    <xf numFmtId="176" fontId="2" fillId="0" borderId="0" xfId="1" applyNumberFormat="1">
      <alignment vertical="center"/>
    </xf>
    <xf numFmtId="0" fontId="0" fillId="0" borderId="0" xfId="0" applyAlignment="1">
      <alignment horizontal="center" vertical="center"/>
    </xf>
    <xf numFmtId="0" fontId="2" fillId="0" borderId="1" xfId="1" applyFill="1" applyBorder="1" applyAlignment="1">
      <alignment horizontal="center" vertical="center" shrinkToFit="1"/>
    </xf>
    <xf numFmtId="182" fontId="2" fillId="0" borderId="1" xfId="1" applyNumberFormat="1" applyFill="1" applyBorder="1" applyAlignment="1">
      <alignment horizontal="center" vertical="center" wrapText="1" shrinkToFit="1"/>
    </xf>
    <xf numFmtId="177" fontId="2" fillId="0" borderId="3" xfId="1" applyNumberFormat="1" applyBorder="1" applyAlignment="1">
      <alignment horizontal="center" vertical="center" shrinkToFit="1"/>
    </xf>
    <xf numFmtId="183" fontId="2" fillId="0" borderId="0" xfId="1" applyNumberFormat="1" applyFill="1" applyBorder="1" applyAlignment="1">
      <alignment horizontal="center" vertical="center" wrapText="1" shrinkToFit="1"/>
    </xf>
    <xf numFmtId="0" fontId="2" fillId="0" borderId="0" xfId="1" applyFill="1" applyAlignment="1">
      <alignment horizontal="center" vertical="center" shrinkToFit="1"/>
    </xf>
    <xf numFmtId="182" fontId="2" fillId="0" borderId="3" xfId="1" applyNumberFormat="1" applyFill="1" applyBorder="1" applyAlignment="1">
      <alignment horizontal="right" vertical="center"/>
    </xf>
    <xf numFmtId="177" fontId="2" fillId="0" borderId="3" xfId="1" applyNumberFormat="1" applyBorder="1">
      <alignment vertical="center"/>
    </xf>
    <xf numFmtId="183" fontId="2" fillId="0" borderId="0" xfId="1" applyNumberFormat="1" applyFill="1" applyBorder="1" applyAlignment="1">
      <alignment horizontal="center" vertical="center"/>
    </xf>
    <xf numFmtId="0" fontId="2" fillId="0" borderId="0" xfId="1" applyFill="1">
      <alignment vertical="center"/>
    </xf>
    <xf numFmtId="0" fontId="2" fillId="0" borderId="0" xfId="1" applyFill="1" applyBorder="1" applyAlignment="1">
      <alignment vertical="center"/>
    </xf>
    <xf numFmtId="0" fontId="2" fillId="0" borderId="0" xfId="1" applyFill="1" applyBorder="1">
      <alignment vertical="center"/>
    </xf>
    <xf numFmtId="182" fontId="2" fillId="0" borderId="0" xfId="1" applyNumberFormat="1" applyFill="1" applyAlignment="1">
      <alignment horizontal="right" vertical="center"/>
    </xf>
    <xf numFmtId="177" fontId="2" fillId="0" borderId="0" xfId="1" applyNumberFormat="1">
      <alignment vertical="center"/>
    </xf>
    <xf numFmtId="0" fontId="2" fillId="0" borderId="0" xfId="1" applyFill="1" applyBorder="1" applyAlignment="1">
      <alignment horizontal="center" vertical="center" shrinkToFit="1"/>
    </xf>
    <xf numFmtId="0" fontId="4" fillId="0" borderId="0" xfId="1" applyFont="1" applyAlignment="1">
      <alignment horizontal="center" vertical="center"/>
    </xf>
    <xf numFmtId="178" fontId="4" fillId="0" borderId="0" xfId="1" applyNumberFormat="1" applyFont="1" applyAlignment="1">
      <alignment horizontal="center" vertical="center"/>
    </xf>
    <xf numFmtId="0" fontId="4" fillId="0" borderId="0" xfId="1" applyFont="1">
      <alignment vertical="center"/>
    </xf>
    <xf numFmtId="181" fontId="4" fillId="0" borderId="0" xfId="1" applyNumberFormat="1" applyFont="1" applyAlignment="1">
      <alignment horizontal="center" vertical="center"/>
    </xf>
    <xf numFmtId="180" fontId="4" fillId="0" borderId="0" xfId="1" applyNumberFormat="1" applyFont="1" applyAlignment="1">
      <alignment horizontal="center" vertical="center"/>
    </xf>
    <xf numFmtId="180" fontId="4" fillId="0" borderId="0" xfId="0" applyNumberFormat="1" applyFont="1" applyAlignment="1">
      <alignment horizontal="center" vertical="center"/>
    </xf>
    <xf numFmtId="0" fontId="4" fillId="0" borderId="0" xfId="0" applyFont="1" applyAlignment="1">
      <alignment horizontal="center" vertical="center"/>
    </xf>
    <xf numFmtId="177" fontId="4" fillId="0" borderId="0" xfId="0" applyNumberFormat="1" applyFont="1" applyAlignment="1">
      <alignment horizontal="center" vertical="center"/>
    </xf>
    <xf numFmtId="178" fontId="4" fillId="0" borderId="0" xfId="0" applyNumberFormat="1" applyFont="1" applyAlignment="1">
      <alignment horizontal="center" vertical="center"/>
    </xf>
    <xf numFmtId="0" fontId="4" fillId="0" borderId="0" xfId="0" applyFont="1">
      <alignment vertical="center"/>
    </xf>
    <xf numFmtId="180" fontId="4" fillId="0" borderId="0" xfId="1" applyNumberFormat="1" applyFont="1">
      <alignment vertical="center"/>
    </xf>
    <xf numFmtId="181" fontId="4" fillId="0" borderId="0" xfId="1" applyNumberFormat="1" applyFont="1">
      <alignment vertical="center"/>
    </xf>
    <xf numFmtId="180" fontId="4" fillId="5" borderId="0" xfId="1" applyNumberFormat="1" applyFont="1" applyFill="1">
      <alignment vertical="center"/>
    </xf>
    <xf numFmtId="0" fontId="0" fillId="0" borderId="3" xfId="0" applyBorder="1" applyAlignment="1">
      <alignment horizontal="center" vertical="center"/>
    </xf>
    <xf numFmtId="181" fontId="0" fillId="0" borderId="3" xfId="0" applyNumberFormat="1" applyBorder="1" applyAlignment="1">
      <alignment horizontal="center" vertical="center"/>
    </xf>
    <xf numFmtId="0" fontId="0" fillId="0" borderId="0" xfId="0" applyFill="1" applyAlignment="1">
      <alignment horizontal="center" vertical="center"/>
    </xf>
    <xf numFmtId="0" fontId="0" fillId="3" borderId="12" xfId="0" applyFill="1" applyBorder="1" applyAlignment="1">
      <alignment horizontal="center" vertical="center"/>
    </xf>
    <xf numFmtId="0" fontId="8" fillId="0" borderId="0" xfId="0" applyFont="1" applyAlignment="1">
      <alignment horizontal="center" vertical="center"/>
    </xf>
    <xf numFmtId="0" fontId="9" fillId="4" borderId="0" xfId="0" applyFont="1" applyFill="1" applyAlignment="1">
      <alignment horizontal="center" vertical="center"/>
    </xf>
    <xf numFmtId="0" fontId="2" fillId="0" borderId="13" xfId="1" applyFill="1" applyBorder="1" applyAlignment="1">
      <alignment horizontal="center" vertical="center"/>
    </xf>
    <xf numFmtId="179" fontId="0" fillId="0" borderId="3" xfId="0" applyNumberFormat="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185" fontId="0" fillId="3" borderId="12" xfId="0" applyNumberFormat="1" applyFill="1" applyBorder="1" applyAlignment="1">
      <alignment horizontal="center" vertical="center"/>
    </xf>
    <xf numFmtId="0" fontId="0" fillId="0" borderId="0" xfId="0" applyFill="1" applyBorder="1" applyAlignment="1">
      <alignment horizontal="center" vertical="center"/>
    </xf>
    <xf numFmtId="0" fontId="7" fillId="0" borderId="0" xfId="0" applyFont="1" applyAlignment="1">
      <alignment horizontal="center" vertical="center" wrapText="1"/>
    </xf>
    <xf numFmtId="0" fontId="10" fillId="0" borderId="0" xfId="0" applyFont="1" applyAlignment="1">
      <alignment horizontal="center" vertical="center"/>
    </xf>
    <xf numFmtId="9" fontId="0" fillId="0" borderId="3" xfId="0" applyNumberFormat="1" applyBorder="1" applyAlignment="1">
      <alignment horizontal="center" vertical="center"/>
    </xf>
    <xf numFmtId="0" fontId="11" fillId="0" borderId="0" xfId="0" applyFont="1" applyAlignment="1">
      <alignment horizontal="center" vertical="center"/>
    </xf>
    <xf numFmtId="0" fontId="11" fillId="3" borderId="12" xfId="0" applyFont="1" applyFill="1" applyBorder="1" applyAlignment="1">
      <alignment horizontal="center" vertical="center"/>
    </xf>
    <xf numFmtId="0" fontId="11" fillId="0" borderId="0" xfId="0" applyFont="1" applyFill="1" applyAlignment="1">
      <alignment horizontal="left" vertical="center"/>
    </xf>
    <xf numFmtId="0" fontId="0" fillId="0" borderId="0" xfId="0" applyAlignment="1">
      <alignment horizontal="center" vertical="center" shrinkToFit="1"/>
    </xf>
    <xf numFmtId="0" fontId="0" fillId="0" borderId="0" xfId="0" applyFont="1" applyFill="1">
      <alignment vertical="center"/>
    </xf>
    <xf numFmtId="0" fontId="0" fillId="0" borderId="0" xfId="0" applyFont="1" applyFill="1" applyAlignment="1">
      <alignment horizontal="left" vertical="center"/>
    </xf>
    <xf numFmtId="177" fontId="0" fillId="0" borderId="0" xfId="0" applyNumberFormat="1" applyAlignment="1">
      <alignment horizontal="left" vertical="center"/>
    </xf>
    <xf numFmtId="0" fontId="0" fillId="0" borderId="0" xfId="0" applyAlignment="1">
      <alignment horizontal="left" vertical="center"/>
    </xf>
    <xf numFmtId="0" fontId="12" fillId="0" borderId="0" xfId="0" applyFont="1" applyFill="1" applyAlignment="1">
      <alignment horizontal="left" vertical="center"/>
    </xf>
    <xf numFmtId="177" fontId="0" fillId="0" borderId="0" xfId="0" applyNumberFormat="1" applyAlignment="1">
      <alignment horizontal="center" vertical="center"/>
    </xf>
    <xf numFmtId="0" fontId="0" fillId="0" borderId="0" xfId="0" applyFont="1" applyFill="1" applyAlignment="1">
      <alignment horizontal="center" vertical="center"/>
    </xf>
    <xf numFmtId="11" fontId="0" fillId="0" borderId="0" xfId="0" applyNumberFormat="1">
      <alignment vertical="center"/>
    </xf>
    <xf numFmtId="0" fontId="0" fillId="0" borderId="0" xfId="0" applyNumberFormat="1">
      <alignment vertical="center"/>
    </xf>
    <xf numFmtId="0" fontId="0" fillId="0" borderId="0" xfId="0" applyAlignment="1">
      <alignment horizontal="right" vertical="center"/>
    </xf>
    <xf numFmtId="0" fontId="12" fillId="0" borderId="0" xfId="0" applyFont="1" applyFill="1">
      <alignment vertical="center"/>
    </xf>
    <xf numFmtId="0" fontId="0" fillId="0" borderId="0" xfId="0" applyFill="1">
      <alignment vertical="center"/>
    </xf>
    <xf numFmtId="0" fontId="0" fillId="0" borderId="0" xfId="0" quotePrefix="1">
      <alignment vertical="center"/>
    </xf>
    <xf numFmtId="0" fontId="0" fillId="0" borderId="0" xfId="0" applyFont="1" applyFill="1" applyAlignment="1">
      <alignment horizontal="right" vertical="center"/>
    </xf>
    <xf numFmtId="0" fontId="5" fillId="6" borderId="0" xfId="0" applyFont="1" applyFill="1">
      <alignment vertical="center"/>
    </xf>
    <xf numFmtId="176" fontId="0" fillId="0" borderId="1" xfId="0" applyNumberFormat="1" applyFill="1" applyBorder="1" applyAlignment="1">
      <alignment horizontal="center" vertical="center"/>
    </xf>
    <xf numFmtId="176" fontId="0" fillId="0" borderId="4" xfId="0" applyNumberFormat="1" applyFill="1" applyBorder="1" applyAlignment="1">
      <alignment horizontal="center" vertical="center" shrinkToFit="1"/>
    </xf>
    <xf numFmtId="177" fontId="0" fillId="0" borderId="3" xfId="0" applyNumberFormat="1" applyBorder="1" applyAlignment="1">
      <alignment horizontal="center" vertical="center"/>
    </xf>
    <xf numFmtId="176" fontId="0" fillId="0" borderId="0" xfId="0" applyNumberFormat="1" applyFill="1" applyAlignment="1">
      <alignment horizontal="center" vertical="center"/>
    </xf>
    <xf numFmtId="0" fontId="0" fillId="0" borderId="1" xfId="0" applyFill="1" applyBorder="1" applyAlignment="1">
      <alignment horizontal="center" vertical="center"/>
    </xf>
    <xf numFmtId="0" fontId="0" fillId="2" borderId="1" xfId="0" applyFill="1" applyBorder="1" applyAlignment="1">
      <alignment horizontal="center" vertical="center"/>
    </xf>
    <xf numFmtId="0" fontId="0" fillId="0" borderId="4" xfId="0" applyFill="1" applyBorder="1" applyAlignment="1">
      <alignment horizontal="center" vertical="center" shrinkToFit="1"/>
    </xf>
    <xf numFmtId="177" fontId="0" fillId="2" borderId="4" xfId="0" applyNumberFormat="1" applyFill="1" applyBorder="1" applyAlignment="1">
      <alignment horizontal="center" vertical="center" shrinkToFit="1"/>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11" fontId="12" fillId="0" borderId="15" xfId="0" applyNumberFormat="1" applyFont="1" applyFill="1" applyBorder="1" applyAlignment="1">
      <alignment horizontal="left" vertical="center"/>
    </xf>
    <xf numFmtId="0" fontId="0" fillId="0" borderId="16" xfId="0" applyFont="1" applyFill="1" applyBorder="1" applyAlignment="1">
      <alignment horizontal="left" vertical="center"/>
    </xf>
    <xf numFmtId="0" fontId="0" fillId="0" borderId="14" xfId="0" applyBorder="1" applyAlignment="1">
      <alignment horizontal="left" vertical="center"/>
    </xf>
    <xf numFmtId="0" fontId="0" fillId="0" borderId="16" xfId="0" applyBorder="1" applyAlignment="1">
      <alignment horizontal="left" vertical="center"/>
    </xf>
    <xf numFmtId="177" fontId="0" fillId="0" borderId="15" xfId="0" applyNumberFormat="1" applyBorder="1" applyAlignment="1">
      <alignment horizontal="left" vertical="center"/>
    </xf>
    <xf numFmtId="180" fontId="4" fillId="0" borderId="6" xfId="1" applyNumberFormat="1" applyFont="1" applyBorder="1" applyAlignment="1">
      <alignment horizontal="center" vertical="center"/>
    </xf>
    <xf numFmtId="180" fontId="4" fillId="0" borderId="19" xfId="1" applyNumberFormat="1" applyFont="1" applyBorder="1" applyAlignment="1">
      <alignment horizontal="center" vertical="center"/>
    </xf>
    <xf numFmtId="180" fontId="4" fillId="0" borderId="19" xfId="0" applyNumberFormat="1" applyFont="1" applyBorder="1" applyAlignment="1">
      <alignment horizontal="center" vertical="center"/>
    </xf>
    <xf numFmtId="0" fontId="4" fillId="0" borderId="19" xfId="0" applyFont="1" applyBorder="1" applyAlignment="1">
      <alignment horizontal="center" vertical="center"/>
    </xf>
    <xf numFmtId="177" fontId="4" fillId="0" borderId="19" xfId="0" applyNumberFormat="1" applyFont="1" applyBorder="1" applyAlignment="1">
      <alignment horizontal="center" vertical="center"/>
    </xf>
    <xf numFmtId="177" fontId="4" fillId="0" borderId="7" xfId="0" applyNumberFormat="1" applyFont="1" applyBorder="1" applyAlignment="1">
      <alignment horizontal="center" vertical="center"/>
    </xf>
    <xf numFmtId="178" fontId="4" fillId="0" borderId="8" xfId="1" applyNumberFormat="1" applyFont="1" applyBorder="1" applyAlignment="1">
      <alignment horizontal="center" vertical="center"/>
    </xf>
    <xf numFmtId="178" fontId="4" fillId="0" borderId="0" xfId="1" applyNumberFormat="1" applyFont="1" applyBorder="1" applyAlignment="1">
      <alignment horizontal="center" vertical="center"/>
    </xf>
    <xf numFmtId="178" fontId="4" fillId="0" borderId="0" xfId="0" applyNumberFormat="1" applyFont="1" applyBorder="1" applyAlignment="1">
      <alignment horizontal="center" vertical="center"/>
    </xf>
    <xf numFmtId="178" fontId="4" fillId="0" borderId="9" xfId="0" applyNumberFormat="1" applyFont="1" applyBorder="1" applyAlignment="1">
      <alignment horizontal="center" vertical="center"/>
    </xf>
    <xf numFmtId="181" fontId="4" fillId="0" borderId="8" xfId="1" applyNumberFormat="1" applyFont="1" applyBorder="1" applyAlignment="1">
      <alignment horizontal="center" vertical="center"/>
    </xf>
    <xf numFmtId="181" fontId="4" fillId="0" borderId="0" xfId="1" applyNumberFormat="1" applyFont="1" applyBorder="1" applyAlignment="1">
      <alignment horizontal="center" vertical="center"/>
    </xf>
    <xf numFmtId="181" fontId="4" fillId="0" borderId="0" xfId="0" applyNumberFormat="1" applyFont="1" applyBorder="1" applyAlignment="1">
      <alignment horizontal="center" vertical="center"/>
    </xf>
    <xf numFmtId="181" fontId="4" fillId="0" borderId="9" xfId="0" applyNumberFormat="1" applyFont="1" applyBorder="1" applyAlignment="1">
      <alignment horizontal="center" vertical="center"/>
    </xf>
    <xf numFmtId="178" fontId="4" fillId="0" borderId="10" xfId="1" applyNumberFormat="1" applyFont="1" applyBorder="1" applyAlignment="1">
      <alignment horizontal="center" vertical="center"/>
    </xf>
    <xf numFmtId="178" fontId="4" fillId="0" borderId="20" xfId="1" applyNumberFormat="1" applyFont="1" applyBorder="1" applyAlignment="1">
      <alignment horizontal="center" vertical="center"/>
    </xf>
    <xf numFmtId="178" fontId="4" fillId="0" borderId="20" xfId="0" applyNumberFormat="1" applyFont="1" applyBorder="1" applyAlignment="1">
      <alignment horizontal="center" vertical="center"/>
    </xf>
    <xf numFmtId="178" fontId="4" fillId="0" borderId="11" xfId="0" applyNumberFormat="1"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178" fontId="0" fillId="0" borderId="24" xfId="0" applyNumberFormat="1" applyBorder="1" applyAlignment="1">
      <alignment horizontal="center" vertical="center"/>
    </xf>
    <xf numFmtId="178" fontId="0" fillId="0" borderId="26" xfId="0" applyNumberFormat="1" applyBorder="1" applyAlignment="1">
      <alignment horizontal="center" vertical="center"/>
    </xf>
    <xf numFmtId="178" fontId="0" fillId="0" borderId="27" xfId="0" applyNumberFormat="1" applyBorder="1" applyAlignment="1">
      <alignment horizontal="center" vertical="center"/>
    </xf>
    <xf numFmtId="178" fontId="0" fillId="0" borderId="29" xfId="0" applyNumberFormat="1" applyBorder="1" applyAlignment="1">
      <alignment horizontal="center" vertical="center"/>
    </xf>
    <xf numFmtId="178" fontId="0" fillId="0" borderId="31" xfId="0" applyNumberFormat="1" applyBorder="1" applyAlignment="1">
      <alignment horizontal="center" vertical="center"/>
    </xf>
    <xf numFmtId="178" fontId="0" fillId="0" borderId="32" xfId="0" applyNumberFormat="1" applyBorder="1" applyAlignment="1">
      <alignment horizontal="center" vertical="center"/>
    </xf>
    <xf numFmtId="178" fontId="0" fillId="0" borderId="33" xfId="0" applyNumberFormat="1" applyBorder="1" applyAlignment="1">
      <alignment horizontal="center" vertical="center"/>
    </xf>
    <xf numFmtId="178" fontId="0" fillId="0" borderId="34" xfId="0" applyNumberFormat="1" applyBorder="1" applyAlignment="1">
      <alignment horizontal="center" vertical="center"/>
    </xf>
    <xf numFmtId="178" fontId="0" fillId="0" borderId="35" xfId="0" applyNumberFormat="1" applyBorder="1" applyAlignment="1">
      <alignment horizontal="center" vertical="center"/>
    </xf>
    <xf numFmtId="177" fontId="0" fillId="0" borderId="25" xfId="0" applyNumberFormat="1" applyBorder="1" applyAlignment="1">
      <alignment horizontal="center" vertical="center"/>
    </xf>
    <xf numFmtId="177" fontId="0" fillId="0" borderId="28" xfId="0" applyNumberFormat="1" applyBorder="1" applyAlignment="1">
      <alignment horizontal="center" vertical="center"/>
    </xf>
    <xf numFmtId="177" fontId="0" fillId="0" borderId="30" xfId="0" applyNumberFormat="1" applyBorder="1" applyAlignment="1">
      <alignment horizontal="center" vertical="center"/>
    </xf>
    <xf numFmtId="178" fontId="13" fillId="0" borderId="0" xfId="1" applyNumberFormat="1" applyFont="1" applyAlignment="1">
      <alignment horizontal="right" vertical="center"/>
    </xf>
    <xf numFmtId="178" fontId="13" fillId="0" borderId="0" xfId="1" applyNumberFormat="1" applyFont="1" applyAlignment="1">
      <alignment horizontal="left" vertical="center"/>
    </xf>
    <xf numFmtId="183" fontId="4" fillId="0" borderId="0" xfId="1" applyNumberFormat="1" applyFont="1" applyFill="1" applyBorder="1" applyAlignment="1">
      <alignment horizontal="center" vertical="center" wrapText="1" shrinkToFit="1"/>
    </xf>
    <xf numFmtId="183" fontId="10" fillId="3" borderId="0" xfId="1" applyNumberFormat="1" applyFont="1" applyFill="1" applyBorder="1" applyAlignment="1">
      <alignment horizontal="center" vertical="center" wrapText="1" shrinkToFit="1"/>
    </xf>
    <xf numFmtId="0" fontId="4" fillId="0" borderId="7" xfId="1" applyFont="1" applyBorder="1">
      <alignment vertical="center"/>
    </xf>
    <xf numFmtId="0" fontId="4" fillId="0" borderId="9" xfId="1" applyFont="1" applyBorder="1">
      <alignment vertical="center"/>
    </xf>
    <xf numFmtId="0" fontId="4" fillId="0" borderId="9" xfId="1" applyFont="1" applyFill="1" applyBorder="1" applyAlignment="1">
      <alignment vertical="center"/>
    </xf>
    <xf numFmtId="0" fontId="4" fillId="0" borderId="11" xfId="1" applyFont="1" applyFill="1" applyBorder="1" applyAlignment="1">
      <alignment vertical="center"/>
    </xf>
    <xf numFmtId="0" fontId="4" fillId="0" borderId="9" xfId="1" applyFont="1" applyFill="1" applyBorder="1">
      <alignment vertical="center"/>
    </xf>
    <xf numFmtId="0" fontId="4" fillId="0" borderId="7" xfId="1" applyFont="1" applyFill="1" applyBorder="1">
      <alignment vertical="center"/>
    </xf>
    <xf numFmtId="0" fontId="4" fillId="0" borderId="11" xfId="1" applyFont="1" applyFill="1" applyBorder="1">
      <alignment vertical="center"/>
    </xf>
    <xf numFmtId="0" fontId="4" fillId="0" borderId="0" xfId="1" applyFont="1" applyFill="1">
      <alignment vertical="center"/>
    </xf>
    <xf numFmtId="183" fontId="4" fillId="0" borderId="18" xfId="1" applyNumberFormat="1" applyFont="1" applyFill="1" applyBorder="1" applyAlignment="1">
      <alignment horizontal="center" vertical="center"/>
    </xf>
    <xf numFmtId="178" fontId="4" fillId="0" borderId="17" xfId="1" applyNumberFormat="1" applyFont="1" applyFill="1" applyBorder="1">
      <alignment vertical="center"/>
    </xf>
    <xf numFmtId="184" fontId="4" fillId="0" borderId="0" xfId="1" applyNumberFormat="1" applyFont="1" applyAlignment="1">
      <alignment horizontal="right" vertical="center"/>
    </xf>
    <xf numFmtId="183" fontId="4" fillId="0" borderId="0" xfId="1" applyNumberFormat="1" applyFont="1" applyFill="1" applyBorder="1" applyAlignment="1">
      <alignment horizontal="center" vertical="center"/>
    </xf>
    <xf numFmtId="0" fontId="4" fillId="0" borderId="6" xfId="1" applyFont="1" applyBorder="1" applyAlignment="1">
      <alignment horizontal="center" vertical="center"/>
    </xf>
    <xf numFmtId="0" fontId="4" fillId="0" borderId="8" xfId="1" applyFont="1" applyBorder="1" applyAlignment="1">
      <alignment horizontal="center" vertical="center"/>
    </xf>
    <xf numFmtId="0" fontId="4" fillId="0" borderId="8"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6" xfId="1" applyFont="1" applyFill="1" applyBorder="1" applyAlignment="1">
      <alignment horizontal="center" vertical="center"/>
    </xf>
    <xf numFmtId="180" fontId="0" fillId="0" borderId="0" xfId="0" applyNumberFormat="1" applyAlignment="1">
      <alignment horizontal="center" vertical="center"/>
    </xf>
    <xf numFmtId="0" fontId="7" fillId="0" borderId="0" xfId="0" applyFont="1" applyFill="1" applyBorder="1" applyAlignment="1">
      <alignment horizontal="left" vertical="center"/>
    </xf>
    <xf numFmtId="0" fontId="0" fillId="0" borderId="0" xfId="0" applyBorder="1" applyAlignment="1">
      <alignment horizontal="center" vertical="center"/>
    </xf>
    <xf numFmtId="177" fontId="2" fillId="0" borderId="0" xfId="1" applyNumberFormat="1" applyBorder="1">
      <alignment vertical="center"/>
    </xf>
    <xf numFmtId="179" fontId="2" fillId="0" borderId="3" xfId="1" applyNumberFormat="1" applyBorder="1">
      <alignment vertical="center"/>
    </xf>
    <xf numFmtId="176" fontId="2" fillId="0" borderId="3" xfId="1" applyNumberFormat="1" applyFill="1" applyBorder="1" applyAlignment="1">
      <alignment horizontal="right" vertical="center"/>
    </xf>
    <xf numFmtId="181" fontId="0" fillId="0" borderId="0" xfId="0" applyNumberFormat="1">
      <alignment vertical="center"/>
    </xf>
    <xf numFmtId="179" fontId="0" fillId="0" borderId="0" xfId="0" applyNumberFormat="1" applyAlignment="1">
      <alignment horizontal="center" vertical="center"/>
    </xf>
    <xf numFmtId="0" fontId="16" fillId="3" borderId="0" xfId="0" applyFont="1" applyFill="1" applyBorder="1" applyAlignment="1">
      <alignment horizontal="center" vertical="center"/>
    </xf>
    <xf numFmtId="181" fontId="13" fillId="3" borderId="0" xfId="0" applyNumberFormat="1" applyFont="1" applyFill="1" applyAlignment="1">
      <alignment horizontal="center" vertical="center"/>
    </xf>
    <xf numFmtId="177" fontId="0" fillId="0" borderId="13" xfId="0" applyNumberFormat="1" applyBorder="1" applyAlignment="1">
      <alignment horizontal="center" vertical="center"/>
    </xf>
    <xf numFmtId="177" fontId="2" fillId="0" borderId="13" xfId="1" applyNumberFormat="1" applyBorder="1" applyAlignment="1">
      <alignment horizontal="center" vertical="center"/>
    </xf>
    <xf numFmtId="176" fontId="2" fillId="0" borderId="13" xfId="1" applyNumberFormat="1" applyBorder="1" applyAlignment="1">
      <alignment horizontal="center" vertical="center"/>
    </xf>
    <xf numFmtId="177" fontId="2" fillId="0" borderId="3" xfId="1" applyNumberFormat="1" applyBorder="1" applyAlignment="1">
      <alignment horizontal="center" vertical="center" wrapText="1" shrinkToFit="1"/>
    </xf>
    <xf numFmtId="0" fontId="4" fillId="0" borderId="0" xfId="1" applyFont="1" applyFill="1" applyAlignment="1">
      <alignment horizontal="center" vertical="center"/>
    </xf>
    <xf numFmtId="178" fontId="4" fillId="0" borderId="0" xfId="1" applyNumberFormat="1" applyFont="1" applyFill="1">
      <alignment vertical="center"/>
    </xf>
    <xf numFmtId="184" fontId="4" fillId="0" borderId="0" xfId="1" applyNumberFormat="1" applyFont="1" applyAlignment="1">
      <alignment horizontal="center" vertical="center"/>
    </xf>
    <xf numFmtId="177" fontId="2" fillId="0" borderId="0" xfId="1" applyNumberFormat="1" applyAlignment="1">
      <alignment horizontal="center" vertical="center"/>
    </xf>
    <xf numFmtId="0" fontId="2" fillId="0" borderId="0" xfId="1" applyFill="1" applyBorder="1" applyAlignment="1">
      <alignment horizontal="center" vertical="center"/>
    </xf>
    <xf numFmtId="176" fontId="2" fillId="0" borderId="0" xfId="1" applyNumberFormat="1" applyFill="1" applyBorder="1" applyAlignment="1">
      <alignment horizontal="right" vertical="center"/>
    </xf>
    <xf numFmtId="182" fontId="2" fillId="0" borderId="0" xfId="1" applyNumberFormat="1" applyFill="1" applyBorder="1" applyAlignment="1">
      <alignment horizontal="right" vertical="center"/>
    </xf>
    <xf numFmtId="179" fontId="2" fillId="0" borderId="0" xfId="1" applyNumberFormat="1" applyBorder="1">
      <alignment vertical="center"/>
    </xf>
    <xf numFmtId="0" fontId="2" fillId="0" borderId="36" xfId="1" applyFill="1" applyBorder="1" applyAlignment="1">
      <alignment horizontal="center" vertical="center"/>
    </xf>
    <xf numFmtId="176" fontId="2" fillId="0" borderId="36" xfId="1" applyNumberFormat="1" applyFill="1" applyBorder="1" applyAlignment="1">
      <alignment horizontal="right" vertical="center"/>
    </xf>
    <xf numFmtId="182" fontId="2" fillId="0" borderId="36" xfId="1" applyNumberFormat="1" applyFill="1" applyBorder="1" applyAlignment="1">
      <alignment horizontal="right" vertical="center"/>
    </xf>
    <xf numFmtId="177" fontId="2" fillId="0" borderId="36" xfId="1" applyNumberFormat="1" applyBorder="1">
      <alignment vertical="center"/>
    </xf>
    <xf numFmtId="179" fontId="2" fillId="0" borderId="36" xfId="1" applyNumberFormat="1" applyBorder="1">
      <alignment vertical="center"/>
    </xf>
    <xf numFmtId="177" fontId="2" fillId="0" borderId="36" xfId="1" applyNumberFormat="1" applyBorder="1" applyAlignment="1">
      <alignment horizontal="center" vertical="center"/>
    </xf>
    <xf numFmtId="0" fontId="2" fillId="0" borderId="37" xfId="1" applyFill="1" applyBorder="1" applyAlignment="1">
      <alignment horizontal="center" vertical="center"/>
    </xf>
    <xf numFmtId="176" fontId="2" fillId="0" borderId="37" xfId="1" applyNumberFormat="1" applyFill="1" applyBorder="1" applyAlignment="1">
      <alignment horizontal="right" vertical="center"/>
    </xf>
    <xf numFmtId="182" fontId="2" fillId="0" borderId="37" xfId="1" applyNumberFormat="1" applyFill="1" applyBorder="1" applyAlignment="1">
      <alignment horizontal="right" vertical="center"/>
    </xf>
    <xf numFmtId="177" fontId="2" fillId="0" borderId="37" xfId="1" applyNumberFormat="1" applyBorder="1">
      <alignment vertical="center"/>
    </xf>
    <xf numFmtId="179" fontId="2" fillId="0" borderId="37" xfId="1" applyNumberFormat="1" applyBorder="1">
      <alignment vertical="center"/>
    </xf>
    <xf numFmtId="177" fontId="2" fillId="0" borderId="37" xfId="1" applyNumberFormat="1" applyBorder="1" applyAlignment="1">
      <alignment horizontal="center" vertical="center"/>
    </xf>
    <xf numFmtId="0" fontId="0" fillId="0" borderId="3" xfId="0" applyFill="1" applyBorder="1" applyAlignment="1">
      <alignment horizontal="center" vertical="center"/>
    </xf>
    <xf numFmtId="181" fontId="0" fillId="0" borderId="0" xfId="0" applyNumberFormat="1" applyAlignment="1">
      <alignment horizontal="center" vertical="center"/>
    </xf>
    <xf numFmtId="179" fontId="0" fillId="0" borderId="0" xfId="0" applyNumberFormat="1">
      <alignment vertical="center"/>
    </xf>
    <xf numFmtId="189" fontId="0" fillId="0" borderId="0" xfId="0" applyNumberFormat="1">
      <alignment vertical="center"/>
    </xf>
    <xf numFmtId="187" fontId="0" fillId="0" borderId="0" xfId="0" applyNumberFormat="1">
      <alignment vertical="center"/>
    </xf>
    <xf numFmtId="177" fontId="0" fillId="0" borderId="0" xfId="0" applyNumberFormat="1">
      <alignment vertical="center"/>
    </xf>
    <xf numFmtId="9" fontId="0" fillId="0" borderId="0" xfId="0" applyNumberFormat="1" applyBorder="1" applyAlignment="1">
      <alignment horizontal="center" vertical="center"/>
    </xf>
    <xf numFmtId="181" fontId="10" fillId="0" borderId="0" xfId="0" applyNumberFormat="1" applyFont="1">
      <alignment vertical="center"/>
    </xf>
    <xf numFmtId="0" fontId="0" fillId="0" borderId="0" xfId="0" applyBorder="1">
      <alignment vertical="center"/>
    </xf>
    <xf numFmtId="177" fontId="0" fillId="3" borderId="12" xfId="0" applyNumberFormat="1" applyFill="1" applyBorder="1" applyAlignment="1">
      <alignment horizontal="center" vertical="center"/>
    </xf>
    <xf numFmtId="0" fontId="0" fillId="0" borderId="38" xfId="0" applyBorder="1" applyAlignment="1">
      <alignment horizontal="center" vertical="center"/>
    </xf>
    <xf numFmtId="0" fontId="0" fillId="0" borderId="40" xfId="0"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0" fillId="0" borderId="13"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0" xfId="0" applyAlignment="1">
      <alignment horizontal="center" vertical="center"/>
    </xf>
    <xf numFmtId="176" fontId="0" fillId="0" borderId="0" xfId="0" applyNumberFormat="1" applyAlignment="1">
      <alignment horizontal="center" vertical="center"/>
    </xf>
    <xf numFmtId="176" fontId="0" fillId="0" borderId="3" xfId="0" applyNumberFormat="1" applyBorder="1" applyAlignment="1">
      <alignment horizontal="center" vertical="center"/>
    </xf>
    <xf numFmtId="176" fontId="0" fillId="0" borderId="3" xfId="0" applyNumberFormat="1" applyFill="1" applyBorder="1" applyAlignment="1">
      <alignment horizontal="center" vertical="center"/>
    </xf>
    <xf numFmtId="0" fontId="0" fillId="0" borderId="0" xfId="0" applyAlignment="1">
      <alignment horizontal="center" vertical="center"/>
    </xf>
    <xf numFmtId="178" fontId="0" fillId="0" borderId="0" xfId="0" applyNumberFormat="1" applyAlignment="1">
      <alignment horizontal="center" vertical="center"/>
    </xf>
    <xf numFmtId="178" fontId="4" fillId="0" borderId="0" xfId="1" applyNumberFormat="1" applyFont="1" applyFill="1" applyBorder="1" applyAlignment="1">
      <alignment horizontal="right" vertical="center"/>
    </xf>
    <xf numFmtId="184" fontId="4" fillId="0" borderId="0" xfId="1" applyNumberFormat="1" applyFont="1" applyFill="1" applyBorder="1" applyAlignment="1">
      <alignment horizontal="center" vertical="center"/>
    </xf>
    <xf numFmtId="179" fontId="4" fillId="0" borderId="0" xfId="1" applyNumberFormat="1" applyFont="1" applyFill="1" applyBorder="1" applyAlignment="1">
      <alignment horizontal="center" vertical="center"/>
    </xf>
    <xf numFmtId="182" fontId="2" fillId="0" borderId="13" xfId="1" applyNumberFormat="1" applyFill="1" applyBorder="1" applyAlignment="1">
      <alignment horizontal="right" vertical="center"/>
    </xf>
    <xf numFmtId="0" fontId="0" fillId="0" borderId="42" xfId="0" applyBorder="1">
      <alignment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5" xfId="0" applyBorder="1">
      <alignment vertical="center"/>
    </xf>
    <xf numFmtId="0" fontId="0" fillId="0" borderId="0" xfId="0" applyBorder="1" applyAlignment="1">
      <alignment horizontal="left" vertical="center"/>
    </xf>
    <xf numFmtId="0" fontId="0" fillId="0" borderId="45" xfId="0" applyBorder="1" applyAlignment="1">
      <alignment horizontal="left" vertical="center"/>
    </xf>
    <xf numFmtId="181" fontId="0" fillId="0" borderId="45" xfId="0" applyNumberFormat="1" applyBorder="1">
      <alignment vertical="center"/>
    </xf>
    <xf numFmtId="0" fontId="0" fillId="0" borderId="0" xfId="0" applyFill="1" applyBorder="1" applyAlignment="1">
      <alignment horizontal="left" vertical="center"/>
    </xf>
    <xf numFmtId="0" fontId="0" fillId="0" borderId="45" xfId="0" applyBorder="1" applyAlignment="1">
      <alignment horizontal="center" vertical="center"/>
    </xf>
    <xf numFmtId="0" fontId="7" fillId="0" borderId="0" xfId="0" applyFont="1" applyAlignment="1">
      <alignment horizontal="left" vertical="center"/>
    </xf>
    <xf numFmtId="0" fontId="19" fillId="0" borderId="0" xfId="0" applyFont="1">
      <alignment vertical="center"/>
    </xf>
    <xf numFmtId="0" fontId="8" fillId="0" borderId="0" xfId="0" applyFont="1" applyAlignment="1">
      <alignment vertical="center"/>
    </xf>
    <xf numFmtId="0" fontId="2" fillId="0" borderId="0" xfId="1" applyAlignment="1">
      <alignment horizontal="right" vertical="center"/>
    </xf>
    <xf numFmtId="181" fontId="0" fillId="0" borderId="0" xfId="0" applyNumberFormat="1" applyFont="1" applyFill="1" applyAlignment="1">
      <alignment horizontal="center" vertical="center"/>
    </xf>
    <xf numFmtId="0" fontId="24" fillId="0" borderId="0" xfId="0" applyFont="1" applyAlignment="1">
      <alignment horizontal="center" vertical="center"/>
    </xf>
    <xf numFmtId="0" fontId="24" fillId="0" borderId="0" xfId="0" applyFont="1">
      <alignment vertical="center"/>
    </xf>
    <xf numFmtId="0" fontId="9" fillId="0" borderId="0" xfId="0" applyFont="1">
      <alignment vertical="center"/>
    </xf>
    <xf numFmtId="0" fontId="0" fillId="7" borderId="46" xfId="0" applyFill="1" applyBorder="1">
      <alignment vertical="center"/>
    </xf>
    <xf numFmtId="179" fontId="0" fillId="0" borderId="0" xfId="0" applyNumberFormat="1" applyBorder="1" applyAlignment="1">
      <alignment horizontal="center" vertical="center"/>
    </xf>
    <xf numFmtId="0" fontId="8" fillId="0" borderId="0" xfId="0" applyFont="1" applyFill="1" applyBorder="1" applyAlignment="1">
      <alignment horizontal="left" vertical="center"/>
    </xf>
    <xf numFmtId="177" fontId="0" fillId="0" borderId="0" xfId="0" applyNumberFormat="1" applyBorder="1" applyAlignment="1">
      <alignment horizontal="center" vertical="center"/>
    </xf>
    <xf numFmtId="176" fontId="2" fillId="0" borderId="0" xfId="1" applyNumberFormat="1" applyBorder="1" applyAlignment="1">
      <alignment horizontal="center" vertical="center"/>
    </xf>
    <xf numFmtId="0" fontId="0" fillId="7" borderId="43" xfId="0" applyFill="1" applyBorder="1" applyAlignment="1" applyProtection="1">
      <alignment horizontal="center" vertical="center"/>
      <protection locked="0"/>
    </xf>
    <xf numFmtId="177" fontId="0" fillId="7" borderId="44" xfId="0" applyNumberFormat="1" applyFill="1" applyBorder="1" applyProtection="1">
      <alignment vertical="center"/>
      <protection locked="0"/>
    </xf>
    <xf numFmtId="192" fontId="0" fillId="7" borderId="44" xfId="0" applyNumberFormat="1" applyFill="1" applyBorder="1" applyProtection="1">
      <alignment vertical="center"/>
      <protection locked="0"/>
    </xf>
    <xf numFmtId="179" fontId="0" fillId="7" borderId="44" xfId="0" applyNumberFormat="1" applyFill="1" applyBorder="1" applyAlignment="1" applyProtection="1">
      <alignment horizontal="right" vertical="center"/>
      <protection locked="0"/>
    </xf>
    <xf numFmtId="192" fontId="0" fillId="7" borderId="44" xfId="0" applyNumberFormat="1" applyFill="1" applyBorder="1" applyAlignment="1" applyProtection="1">
      <alignment horizontal="right" vertical="center"/>
      <protection locked="0"/>
    </xf>
    <xf numFmtId="181" fontId="0" fillId="7" borderId="44" xfId="0" applyNumberFormat="1" applyFill="1" applyBorder="1" applyAlignment="1" applyProtection="1">
      <alignment horizontal="right" vertical="center"/>
      <protection locked="0"/>
    </xf>
    <xf numFmtId="177" fontId="0" fillId="7" borderId="44" xfId="0" applyNumberFormat="1" applyFill="1" applyBorder="1" applyAlignment="1" applyProtection="1">
      <alignment horizontal="right" vertical="center"/>
      <protection locked="0"/>
    </xf>
    <xf numFmtId="177" fontId="0" fillId="7" borderId="46" xfId="0" applyNumberFormat="1" applyFill="1" applyBorder="1" applyAlignment="1" applyProtection="1">
      <alignment horizontal="center" vertical="center"/>
      <protection locked="0"/>
    </xf>
    <xf numFmtId="0" fontId="0" fillId="7" borderId="38" xfId="0" applyFill="1" applyBorder="1" applyAlignment="1" applyProtection="1">
      <alignment horizontal="center" vertical="center"/>
      <protection locked="0"/>
    </xf>
    <xf numFmtId="185" fontId="0" fillId="7" borderId="38" xfId="0" applyNumberFormat="1" applyFill="1" applyBorder="1" applyAlignment="1" applyProtection="1">
      <alignment horizontal="center" vertical="center"/>
      <protection locked="0"/>
    </xf>
    <xf numFmtId="0" fontId="0" fillId="7" borderId="40" xfId="0" applyFill="1" applyBorder="1" applyAlignment="1" applyProtection="1">
      <alignment horizontal="center" vertical="center"/>
      <protection locked="0"/>
    </xf>
    <xf numFmtId="185" fontId="0" fillId="7" borderId="40" xfId="0" applyNumberFormat="1" applyFill="1" applyBorder="1" applyAlignment="1" applyProtection="1">
      <alignment horizontal="center" vertical="center"/>
      <protection locked="0"/>
    </xf>
    <xf numFmtId="9" fontId="0" fillId="7" borderId="40" xfId="0" applyNumberFormat="1" applyFill="1" applyBorder="1" applyAlignment="1" applyProtection="1">
      <alignment horizontal="center" vertical="center"/>
      <protection locked="0"/>
    </xf>
    <xf numFmtId="0" fontId="0" fillId="7" borderId="39" xfId="0" applyFill="1" applyBorder="1" applyAlignment="1" applyProtection="1">
      <alignment horizontal="center" vertical="center"/>
      <protection locked="0"/>
    </xf>
    <xf numFmtId="0" fontId="31" fillId="0" borderId="0" xfId="0" applyFont="1">
      <alignment vertical="center"/>
    </xf>
    <xf numFmtId="10" fontId="0" fillId="7" borderId="44" xfId="0" applyNumberFormat="1" applyFill="1" applyBorder="1" applyAlignment="1" applyProtection="1">
      <alignment horizontal="right" vertical="center"/>
      <protection locked="0"/>
    </xf>
    <xf numFmtId="0" fontId="21" fillId="0" borderId="0" xfId="0" applyFont="1" applyAlignment="1">
      <alignment horizontal="center" vertical="center"/>
    </xf>
    <xf numFmtId="177" fontId="10" fillId="8" borderId="0" xfId="0" applyNumberFormat="1" applyFont="1" applyFill="1" applyAlignment="1" applyProtection="1">
      <alignment horizontal="center" vertical="center"/>
      <protection hidden="1"/>
    </xf>
    <xf numFmtId="181" fontId="15" fillId="0" borderId="44" xfId="0" applyNumberFormat="1" applyFont="1" applyBorder="1" applyAlignment="1" applyProtection="1">
      <alignment horizontal="right" vertical="center"/>
      <protection hidden="1"/>
    </xf>
    <xf numFmtId="177" fontId="15" fillId="0" borderId="44" xfId="0" applyNumberFormat="1" applyFont="1" applyBorder="1" applyAlignment="1" applyProtection="1">
      <alignment horizontal="right" vertical="center"/>
      <protection hidden="1"/>
    </xf>
    <xf numFmtId="177" fontId="0" fillId="0" borderId="0" xfId="0" applyNumberFormat="1" applyAlignment="1" applyProtection="1">
      <alignment horizontal="center" vertical="center"/>
      <protection hidden="1"/>
    </xf>
    <xf numFmtId="0" fontId="0" fillId="0" borderId="38" xfId="0" applyBorder="1" applyAlignment="1" applyProtection="1">
      <alignment horizontal="center" vertical="center"/>
      <protection hidden="1"/>
    </xf>
    <xf numFmtId="185" fontId="0" fillId="0" borderId="38" xfId="0" applyNumberFormat="1" applyBorder="1" applyAlignment="1" applyProtection="1">
      <alignment horizontal="center" vertical="center"/>
      <protection hidden="1"/>
    </xf>
    <xf numFmtId="0" fontId="0" fillId="0" borderId="40" xfId="0" applyBorder="1" applyAlignment="1" applyProtection="1">
      <alignment horizontal="center" vertical="center"/>
      <protection hidden="1"/>
    </xf>
    <xf numFmtId="185" fontId="0" fillId="0" borderId="40" xfId="0" applyNumberFormat="1" applyBorder="1" applyAlignment="1" applyProtection="1">
      <alignment horizontal="center" vertical="center"/>
      <protection hidden="1"/>
    </xf>
    <xf numFmtId="0" fontId="0" fillId="0" borderId="39" xfId="0" applyBorder="1" applyAlignment="1" applyProtection="1">
      <alignment horizontal="center" vertical="center"/>
      <protection hidden="1"/>
    </xf>
    <xf numFmtId="185" fontId="0" fillId="0" borderId="39" xfId="0" applyNumberFormat="1" applyBorder="1" applyAlignment="1" applyProtection="1">
      <alignment horizontal="center" vertical="center"/>
      <protection hidden="1"/>
    </xf>
    <xf numFmtId="0" fontId="0" fillId="0" borderId="37" xfId="0" applyBorder="1" applyAlignment="1" applyProtection="1">
      <alignment horizontal="center" vertical="center"/>
      <protection hidden="1"/>
    </xf>
    <xf numFmtId="179" fontId="0" fillId="0" borderId="13" xfId="0" applyNumberFormat="1"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21" fillId="0" borderId="0" xfId="0" applyFont="1" applyAlignment="1" applyProtection="1">
      <alignment horizontal="left" vertical="center"/>
      <protection hidden="1"/>
    </xf>
    <xf numFmtId="0" fontId="24" fillId="0" borderId="0" xfId="0" applyFont="1" applyAlignment="1" applyProtection="1">
      <alignment horizontal="center" vertical="center"/>
      <protection hidden="1"/>
    </xf>
    <xf numFmtId="179" fontId="24" fillId="0" borderId="0" xfId="0" applyNumberFormat="1" applyFont="1" applyAlignment="1" applyProtection="1">
      <alignment horizontal="center" vertical="center"/>
      <protection hidden="1"/>
    </xf>
    <xf numFmtId="0" fontId="24" fillId="0" borderId="0" xfId="0" applyFont="1" applyProtection="1">
      <alignment vertical="center"/>
      <protection hidden="1"/>
    </xf>
    <xf numFmtId="0" fontId="25" fillId="0" borderId="0" xfId="0" applyFont="1" applyBorder="1" applyAlignment="1" applyProtection="1">
      <alignment horizontal="center" vertical="center"/>
      <protection hidden="1"/>
    </xf>
    <xf numFmtId="0" fontId="24" fillId="0" borderId="0" xfId="0" applyFont="1" applyBorder="1" applyAlignment="1" applyProtection="1">
      <alignment vertical="center"/>
      <protection hidden="1"/>
    </xf>
    <xf numFmtId="0" fontId="24" fillId="0" borderId="42" xfId="0" applyFont="1" applyBorder="1" applyAlignment="1" applyProtection="1">
      <alignment horizontal="center" vertical="center"/>
      <protection hidden="1"/>
    </xf>
    <xf numFmtId="0" fontId="24" fillId="0" borderId="0" xfId="0" applyFont="1" applyAlignment="1" applyProtection="1">
      <alignment horizontal="right" vertical="center"/>
      <protection hidden="1"/>
    </xf>
    <xf numFmtId="0" fontId="24" fillId="4" borderId="43" xfId="0" applyFont="1" applyFill="1" applyBorder="1" applyAlignment="1" applyProtection="1">
      <alignment horizontal="center" vertical="center"/>
      <protection hidden="1"/>
    </xf>
    <xf numFmtId="181" fontId="24" fillId="4" borderId="43" xfId="0" applyNumberFormat="1" applyFont="1" applyFill="1" applyBorder="1" applyAlignment="1" applyProtection="1">
      <alignment horizontal="center" vertical="center"/>
      <protection hidden="1"/>
    </xf>
    <xf numFmtId="192" fontId="24" fillId="4" borderId="43" xfId="0" applyNumberFormat="1" applyFont="1" applyFill="1" applyBorder="1" applyAlignment="1" applyProtection="1">
      <alignment horizontal="center" vertical="center"/>
      <protection hidden="1"/>
    </xf>
    <xf numFmtId="177" fontId="24" fillId="4" borderId="43" xfId="0" applyNumberFormat="1" applyFont="1" applyFill="1" applyBorder="1" applyAlignment="1" applyProtection="1">
      <alignment horizontal="center" vertical="center"/>
      <protection hidden="1"/>
    </xf>
    <xf numFmtId="0" fontId="24" fillId="0" borderId="71" xfId="0" applyFont="1" applyBorder="1" applyAlignment="1" applyProtection="1">
      <alignment horizontal="center" vertical="center"/>
      <protection hidden="1"/>
    </xf>
    <xf numFmtId="0" fontId="24" fillId="0" borderId="46" xfId="0" applyFont="1" applyBorder="1" applyAlignment="1" applyProtection="1">
      <alignment horizontal="center" vertical="center"/>
      <protection hidden="1"/>
    </xf>
    <xf numFmtId="0" fontId="24" fillId="0" borderId="73" xfId="0" applyFont="1" applyBorder="1" applyAlignment="1" applyProtection="1">
      <alignment horizontal="center" vertical="center"/>
      <protection hidden="1"/>
    </xf>
    <xf numFmtId="0" fontId="24" fillId="4" borderId="72" xfId="0" applyFont="1" applyFill="1" applyBorder="1" applyAlignment="1" applyProtection="1">
      <alignment horizontal="center" vertical="center"/>
      <protection hidden="1"/>
    </xf>
    <xf numFmtId="0" fontId="24" fillId="4" borderId="60" xfId="0" applyFont="1" applyFill="1" applyBorder="1" applyAlignment="1" applyProtection="1">
      <alignment horizontal="center" vertical="center"/>
      <protection hidden="1"/>
    </xf>
    <xf numFmtId="0" fontId="24" fillId="4" borderId="74" xfId="0" applyFont="1" applyFill="1" applyBorder="1" applyAlignment="1" applyProtection="1">
      <alignment horizontal="center" vertical="center"/>
      <protection hidden="1"/>
    </xf>
    <xf numFmtId="0" fontId="26" fillId="0" borderId="0" xfId="0" applyFont="1" applyBorder="1" applyAlignment="1" applyProtection="1">
      <alignment horizontal="left" vertical="center"/>
      <protection hidden="1"/>
    </xf>
    <xf numFmtId="0" fontId="25" fillId="0" borderId="0" xfId="0" applyFont="1" applyProtection="1">
      <alignment vertical="center"/>
      <protection hidden="1"/>
    </xf>
    <xf numFmtId="0" fontId="25" fillId="0" borderId="37" xfId="0" applyFont="1" applyBorder="1" applyAlignment="1" applyProtection="1">
      <alignment horizontal="center" vertical="center"/>
      <protection hidden="1"/>
    </xf>
    <xf numFmtId="0" fontId="25" fillId="0" borderId="0" xfId="0" applyFont="1" applyAlignment="1" applyProtection="1">
      <alignment horizontal="center" vertical="center"/>
      <protection hidden="1"/>
    </xf>
    <xf numFmtId="0" fontId="24" fillId="0" borderId="1" xfId="0" applyFont="1" applyBorder="1" applyAlignment="1" applyProtection="1">
      <alignment horizontal="center" vertical="center"/>
      <protection hidden="1"/>
    </xf>
    <xf numFmtId="179" fontId="24" fillId="0" borderId="1" xfId="0" applyNumberFormat="1" applyFont="1" applyBorder="1" applyAlignment="1" applyProtection="1">
      <alignment horizontal="center" vertical="center"/>
      <protection hidden="1"/>
    </xf>
    <xf numFmtId="0" fontId="27" fillId="0" borderId="1" xfId="0" applyFont="1" applyBorder="1" applyAlignment="1" applyProtection="1">
      <protection hidden="1"/>
    </xf>
    <xf numFmtId="0" fontId="27" fillId="0" borderId="21" xfId="0" applyFont="1" applyBorder="1" applyAlignment="1" applyProtection="1">
      <protection hidden="1"/>
    </xf>
    <xf numFmtId="0" fontId="27" fillId="0" borderId="22" xfId="0" applyFont="1" applyBorder="1" applyAlignment="1" applyProtection="1">
      <protection hidden="1"/>
    </xf>
    <xf numFmtId="0" fontId="27" fillId="0" borderId="23" xfId="0" applyFont="1" applyBorder="1" applyAlignment="1" applyProtection="1">
      <protection hidden="1"/>
    </xf>
    <xf numFmtId="0" fontId="24" fillId="0" borderId="4" xfId="0" applyFont="1" applyBorder="1" applyAlignment="1" applyProtection="1">
      <alignment horizontal="center" vertical="center"/>
      <protection hidden="1"/>
    </xf>
    <xf numFmtId="179" fontId="24" fillId="0" borderId="4" xfId="0" applyNumberFormat="1" applyFont="1" applyBorder="1" applyAlignment="1" applyProtection="1">
      <alignment horizontal="center" vertical="center"/>
      <protection hidden="1"/>
    </xf>
    <xf numFmtId="0" fontId="27" fillId="0" borderId="52" xfId="0" applyFont="1" applyBorder="1" applyAlignment="1" applyProtection="1">
      <alignment horizontal="center" vertical="center" shrinkToFit="1"/>
      <protection hidden="1"/>
    </xf>
    <xf numFmtId="0" fontId="27" fillId="0" borderId="48" xfId="0" applyFont="1" applyBorder="1" applyAlignment="1" applyProtection="1">
      <alignment vertical="center" shrinkToFit="1"/>
      <protection hidden="1"/>
    </xf>
    <xf numFmtId="0" fontId="27" fillId="0" borderId="49" xfId="0" applyFont="1" applyBorder="1" applyAlignment="1" applyProtection="1">
      <alignment horizontal="center" vertical="center" shrinkToFit="1"/>
      <protection hidden="1"/>
    </xf>
    <xf numFmtId="0" fontId="27" fillId="0" borderId="24" xfId="0" applyFont="1" applyBorder="1" applyAlignment="1" applyProtection="1">
      <alignment horizontal="center" vertical="center" shrinkToFit="1"/>
      <protection hidden="1"/>
    </xf>
    <xf numFmtId="0" fontId="27" fillId="0" borderId="50" xfId="0" applyFont="1" applyBorder="1" applyAlignment="1" applyProtection="1">
      <alignment horizontal="center" vertical="center" shrinkToFit="1"/>
      <protection hidden="1"/>
    </xf>
    <xf numFmtId="0" fontId="27" fillId="0" borderId="65" xfId="0" applyFont="1" applyBorder="1" applyAlignment="1" applyProtection="1">
      <alignment horizontal="center" vertical="center" shrinkToFit="1"/>
      <protection hidden="1"/>
    </xf>
    <xf numFmtId="0" fontId="27" fillId="0" borderId="66" xfId="0" applyFont="1" applyBorder="1" applyAlignment="1" applyProtection="1">
      <alignment horizontal="center" vertical="center" shrinkToFit="1"/>
      <protection hidden="1"/>
    </xf>
    <xf numFmtId="0" fontId="27" fillId="0" borderId="67" xfId="0" applyFont="1" applyBorder="1" applyAlignment="1" applyProtection="1">
      <alignment horizontal="center" vertical="center" shrinkToFit="1"/>
      <protection hidden="1"/>
    </xf>
    <xf numFmtId="0" fontId="24" fillId="0" borderId="68" xfId="0" applyFont="1" applyBorder="1" applyAlignment="1" applyProtection="1">
      <alignment horizontal="center" vertical="center"/>
      <protection hidden="1"/>
    </xf>
    <xf numFmtId="181" fontId="24" fillId="0" borderId="68" xfId="0" applyNumberFormat="1" applyFont="1" applyBorder="1" applyAlignment="1" applyProtection="1">
      <alignment horizontal="center" vertical="center"/>
      <protection hidden="1"/>
    </xf>
    <xf numFmtId="192" fontId="24" fillId="0" borderId="68" xfId="0" applyNumberFormat="1" applyFont="1" applyBorder="1" applyAlignment="1" applyProtection="1">
      <alignment horizontal="center" vertical="center"/>
      <protection hidden="1"/>
    </xf>
    <xf numFmtId="177" fontId="24" fillId="0" borderId="68" xfId="0" applyNumberFormat="1" applyFont="1" applyBorder="1" applyAlignment="1" applyProtection="1">
      <alignment horizontal="center" vertical="center"/>
      <protection hidden="1"/>
    </xf>
    <xf numFmtId="0" fontId="27" fillId="0" borderId="4" xfId="0" applyFont="1" applyBorder="1" applyAlignment="1" applyProtection="1">
      <protection hidden="1"/>
    </xf>
    <xf numFmtId="0" fontId="27" fillId="0" borderId="51" xfId="0" applyFont="1" applyBorder="1" applyAlignment="1" applyProtection="1">
      <alignment horizontal="center" vertical="center" shrinkToFit="1"/>
      <protection hidden="1"/>
    </xf>
    <xf numFmtId="0" fontId="27" fillId="0" borderId="53" xfId="0" applyFont="1" applyBorder="1" applyAlignment="1" applyProtection="1">
      <alignment horizontal="center" vertical="center" shrinkToFit="1"/>
      <protection hidden="1"/>
    </xf>
    <xf numFmtId="0" fontId="27" fillId="0" borderId="51" xfId="0" applyFont="1" applyBorder="1" applyAlignment="1" applyProtection="1">
      <alignment horizontal="center"/>
      <protection hidden="1"/>
    </xf>
    <xf numFmtId="0" fontId="24" fillId="0" borderId="47" xfId="0" applyFont="1" applyBorder="1" applyAlignment="1" applyProtection="1">
      <alignment horizontal="center" vertical="center"/>
      <protection hidden="1"/>
    </xf>
    <xf numFmtId="181" fontId="24" fillId="0" borderId="47" xfId="0" applyNumberFormat="1" applyFont="1" applyBorder="1" applyAlignment="1" applyProtection="1">
      <alignment horizontal="center" vertical="center"/>
      <protection hidden="1"/>
    </xf>
    <xf numFmtId="192" fontId="24" fillId="0" borderId="47" xfId="0" applyNumberFormat="1" applyFont="1" applyBorder="1" applyAlignment="1" applyProtection="1">
      <alignment horizontal="center" vertical="center"/>
      <protection hidden="1"/>
    </xf>
    <xf numFmtId="177" fontId="24" fillId="0" borderId="47" xfId="0" applyNumberFormat="1" applyFont="1" applyBorder="1" applyAlignment="1" applyProtection="1">
      <alignment horizontal="center" vertical="center"/>
      <protection hidden="1"/>
    </xf>
    <xf numFmtId="0" fontId="27" fillId="0" borderId="42" xfId="0" applyFont="1" applyBorder="1" applyAlignment="1" applyProtection="1">
      <alignment horizontal="center" vertical="center"/>
      <protection hidden="1"/>
    </xf>
    <xf numFmtId="0" fontId="27" fillId="0" borderId="54" xfId="0" applyFont="1" applyBorder="1" applyAlignment="1" applyProtection="1">
      <alignment horizontal="center" vertical="center" shrinkToFit="1"/>
      <protection hidden="1"/>
    </xf>
    <xf numFmtId="181" fontId="27" fillId="0" borderId="55" xfId="0" applyNumberFormat="1" applyFont="1" applyBorder="1" applyAlignment="1" applyProtection="1">
      <alignment horizontal="center" vertical="center" shrinkToFit="1"/>
      <protection hidden="1"/>
    </xf>
    <xf numFmtId="0" fontId="27" fillId="0" borderId="56" xfId="0" applyFont="1" applyBorder="1" applyAlignment="1" applyProtection="1">
      <alignment horizontal="center" vertical="center" shrinkToFit="1"/>
      <protection hidden="1"/>
    </xf>
    <xf numFmtId="3" fontId="27" fillId="0" borderId="54" xfId="0" applyNumberFormat="1" applyFont="1" applyBorder="1" applyAlignment="1" applyProtection="1">
      <alignment horizontal="center" vertical="center" shrinkToFit="1"/>
      <protection hidden="1"/>
    </xf>
    <xf numFmtId="3" fontId="27" fillId="0" borderId="55" xfId="0" applyNumberFormat="1" applyFont="1" applyBorder="1" applyAlignment="1" applyProtection="1">
      <alignment horizontal="center" vertical="center" shrinkToFit="1"/>
      <protection hidden="1"/>
    </xf>
    <xf numFmtId="186" fontId="27" fillId="0" borderId="55" xfId="0" applyNumberFormat="1" applyFont="1" applyBorder="1" applyAlignment="1" applyProtection="1">
      <alignment horizontal="center" vertical="center" shrinkToFit="1"/>
      <protection hidden="1"/>
    </xf>
    <xf numFmtId="187" fontId="27" fillId="0" borderId="56" xfId="0" applyNumberFormat="1" applyFont="1" applyBorder="1" applyAlignment="1" applyProtection="1">
      <alignment horizontal="center" vertical="center" shrinkToFit="1"/>
      <protection hidden="1"/>
    </xf>
    <xf numFmtId="0" fontId="27" fillId="0" borderId="54" xfId="0" applyFont="1" applyBorder="1" applyAlignment="1" applyProtection="1">
      <alignment horizontal="center" vertical="center"/>
      <protection hidden="1"/>
    </xf>
    <xf numFmtId="0" fontId="27" fillId="0" borderId="47" xfId="0" applyFont="1" applyBorder="1" applyAlignment="1" applyProtection="1">
      <alignment horizontal="center" vertical="center"/>
      <protection hidden="1"/>
    </xf>
    <xf numFmtId="0" fontId="27" fillId="0" borderId="57" xfId="0" applyFont="1" applyBorder="1" applyAlignment="1" applyProtection="1">
      <alignment horizontal="center" vertical="center"/>
      <protection hidden="1"/>
    </xf>
    <xf numFmtId="191" fontId="27" fillId="0" borderId="46" xfId="0" applyNumberFormat="1" applyFont="1" applyBorder="1" applyAlignment="1" applyProtection="1">
      <alignment horizontal="center" vertical="center"/>
      <protection hidden="1"/>
    </xf>
    <xf numFmtId="185" fontId="27" fillId="0" borderId="58" xfId="0" applyNumberFormat="1" applyFont="1" applyBorder="1" applyAlignment="1" applyProtection="1">
      <alignment horizontal="center" vertical="center"/>
      <protection hidden="1"/>
    </xf>
    <xf numFmtId="38" fontId="27" fillId="0" borderId="57" xfId="0" applyNumberFormat="1" applyFont="1" applyBorder="1" applyAlignment="1" applyProtection="1">
      <alignment horizontal="center" vertical="center"/>
      <protection hidden="1"/>
    </xf>
    <xf numFmtId="38" fontId="27" fillId="0" borderId="46" xfId="0" applyNumberFormat="1" applyFont="1" applyBorder="1" applyAlignment="1" applyProtection="1">
      <alignment horizontal="center" vertical="center"/>
      <protection hidden="1"/>
    </xf>
    <xf numFmtId="190" fontId="27" fillId="0" borderId="58" xfId="0" applyNumberFormat="1" applyFont="1" applyBorder="1" applyAlignment="1" applyProtection="1">
      <alignment horizontal="center" vertical="center"/>
      <protection hidden="1"/>
    </xf>
    <xf numFmtId="40" fontId="27" fillId="0" borderId="58" xfId="0" applyNumberFormat="1" applyFont="1" applyBorder="1" applyAlignment="1" applyProtection="1">
      <alignment horizontal="center" vertical="center"/>
      <protection hidden="1"/>
    </xf>
    <xf numFmtId="38" fontId="27" fillId="0" borderId="58" xfId="0" applyNumberFormat="1" applyFont="1" applyBorder="1" applyAlignment="1" applyProtection="1">
      <alignment horizontal="center" vertical="center"/>
      <protection hidden="1"/>
    </xf>
    <xf numFmtId="0" fontId="27" fillId="0" borderId="43" xfId="0" applyFont="1" applyBorder="1" applyAlignment="1" applyProtection="1">
      <alignment horizontal="center" vertical="center"/>
      <protection hidden="1"/>
    </xf>
    <xf numFmtId="0" fontId="27" fillId="0" borderId="59" xfId="0" applyFont="1" applyBorder="1" applyAlignment="1" applyProtection="1">
      <alignment horizontal="center" vertical="center"/>
      <protection hidden="1"/>
    </xf>
    <xf numFmtId="191" fontId="27" fillId="0" borderId="60" xfId="0" applyNumberFormat="1" applyFont="1" applyBorder="1" applyAlignment="1" applyProtection="1">
      <alignment horizontal="center" vertical="center"/>
      <protection hidden="1"/>
    </xf>
    <xf numFmtId="185" fontId="27" fillId="0" borderId="61" xfId="0" applyNumberFormat="1" applyFont="1" applyBorder="1" applyAlignment="1" applyProtection="1">
      <alignment horizontal="center" vertical="center"/>
      <protection hidden="1"/>
    </xf>
    <xf numFmtId="38" fontId="27" fillId="0" borderId="59" xfId="0" applyNumberFormat="1" applyFont="1" applyBorder="1" applyAlignment="1" applyProtection="1">
      <alignment horizontal="center" vertical="center"/>
      <protection hidden="1"/>
    </xf>
    <xf numFmtId="38" fontId="27" fillId="0" borderId="60" xfId="0" applyNumberFormat="1" applyFont="1" applyBorder="1" applyAlignment="1" applyProtection="1">
      <alignment horizontal="center" vertical="center"/>
      <protection hidden="1"/>
    </xf>
    <xf numFmtId="190" fontId="27" fillId="0" borderId="61" xfId="0" applyNumberFormat="1" applyFont="1" applyBorder="1" applyAlignment="1" applyProtection="1">
      <alignment horizontal="center" vertical="center"/>
      <protection hidden="1"/>
    </xf>
    <xf numFmtId="40" fontId="27" fillId="0" borderId="61" xfId="0" applyNumberFormat="1" applyFont="1" applyBorder="1" applyAlignment="1" applyProtection="1">
      <alignment horizontal="center" vertical="center"/>
      <protection hidden="1"/>
    </xf>
    <xf numFmtId="38" fontId="27" fillId="0" borderId="61" xfId="0" applyNumberFormat="1" applyFont="1" applyBorder="1" applyAlignment="1" applyProtection="1">
      <alignment horizontal="center" vertical="center"/>
      <protection hidden="1"/>
    </xf>
    <xf numFmtId="0" fontId="28" fillId="4" borderId="3" xfId="0" applyFont="1" applyFill="1" applyBorder="1" applyAlignment="1" applyProtection="1">
      <alignment horizontal="center" vertical="center"/>
      <protection hidden="1"/>
    </xf>
    <xf numFmtId="0" fontId="28" fillId="4" borderId="62" xfId="0" applyFont="1" applyFill="1" applyBorder="1" applyAlignment="1" applyProtection="1">
      <alignment horizontal="center" vertical="center"/>
      <protection hidden="1"/>
    </xf>
    <xf numFmtId="188" fontId="28" fillId="4" borderId="63" xfId="0" applyNumberFormat="1" applyFont="1" applyFill="1" applyBorder="1" applyAlignment="1" applyProtection="1">
      <alignment horizontal="center" vertical="center"/>
      <protection hidden="1"/>
    </xf>
    <xf numFmtId="0" fontId="28" fillId="4" borderId="64" xfId="0" applyFont="1" applyFill="1" applyBorder="1" applyAlignment="1" applyProtection="1">
      <alignment horizontal="center" vertical="center"/>
      <protection hidden="1"/>
    </xf>
    <xf numFmtId="38" fontId="28" fillId="4" borderId="62" xfId="0" applyNumberFormat="1" applyFont="1" applyFill="1" applyBorder="1" applyAlignment="1" applyProtection="1">
      <alignment horizontal="center" vertical="center"/>
      <protection hidden="1"/>
    </xf>
    <xf numFmtId="38" fontId="29" fillId="4" borderId="63" xfId="0" applyNumberFormat="1" applyFont="1" applyFill="1" applyBorder="1" applyAlignment="1" applyProtection="1">
      <alignment horizontal="center" vertical="center"/>
      <protection hidden="1"/>
    </xf>
    <xf numFmtId="40" fontId="28" fillId="4" borderId="64" xfId="0" applyNumberFormat="1" applyFont="1" applyFill="1" applyBorder="1" applyAlignment="1" applyProtection="1">
      <alignment horizontal="center" vertical="center"/>
      <protection hidden="1"/>
    </xf>
    <xf numFmtId="38" fontId="27" fillId="4" borderId="62" xfId="0" applyNumberFormat="1" applyFont="1" applyFill="1" applyBorder="1" applyAlignment="1" applyProtection="1">
      <alignment horizontal="center" vertical="center"/>
      <protection hidden="1"/>
    </xf>
    <xf numFmtId="40" fontId="27" fillId="4" borderId="64" xfId="0" applyNumberFormat="1" applyFont="1" applyFill="1" applyBorder="1" applyAlignment="1" applyProtection="1">
      <alignment horizontal="center" vertical="center"/>
      <protection hidden="1"/>
    </xf>
    <xf numFmtId="38" fontId="27" fillId="4" borderId="62" xfId="0" applyNumberFormat="1" applyFont="1" applyFill="1" applyBorder="1" applyAlignment="1" applyProtection="1">
      <alignment horizontal="right" vertical="center" shrinkToFit="1"/>
      <protection hidden="1"/>
    </xf>
    <xf numFmtId="38" fontId="29" fillId="4" borderId="64" xfId="0" applyNumberFormat="1" applyFont="1" applyFill="1" applyBorder="1" applyAlignment="1" applyProtection="1">
      <alignment horizontal="center" vertical="center" shrinkToFit="1"/>
      <protection hidden="1"/>
    </xf>
    <xf numFmtId="0" fontId="31" fillId="0" borderId="0" xfId="0" applyFont="1" applyProtection="1">
      <alignment vertical="center"/>
      <protection hidden="1"/>
    </xf>
    <xf numFmtId="0" fontId="24" fillId="0" borderId="43" xfId="0" applyFont="1" applyBorder="1" applyAlignment="1" applyProtection="1">
      <alignment horizontal="center" vertical="center"/>
      <protection hidden="1"/>
    </xf>
    <xf numFmtId="181" fontId="24" fillId="0" borderId="43" xfId="0" applyNumberFormat="1" applyFont="1" applyBorder="1" applyAlignment="1" applyProtection="1">
      <alignment horizontal="center" vertical="center"/>
      <protection hidden="1"/>
    </xf>
    <xf numFmtId="192" fontId="24" fillId="0" borderId="43" xfId="0" applyNumberFormat="1" applyFont="1" applyBorder="1" applyAlignment="1" applyProtection="1">
      <alignment horizontal="center" vertical="center"/>
      <protection hidden="1"/>
    </xf>
    <xf numFmtId="177" fontId="24" fillId="0" borderId="43" xfId="0" applyNumberFormat="1" applyFont="1" applyBorder="1" applyAlignment="1" applyProtection="1">
      <alignment horizontal="center" vertical="center"/>
      <protection hidden="1"/>
    </xf>
    <xf numFmtId="0" fontId="22" fillId="0" borderId="0" xfId="0" applyFont="1" applyAlignment="1" applyProtection="1">
      <alignment horizontal="right" vertical="center"/>
      <protection hidden="1"/>
    </xf>
    <xf numFmtId="0" fontId="25" fillId="4" borderId="43" xfId="0" applyFont="1" applyFill="1" applyBorder="1" applyAlignment="1" applyProtection="1">
      <alignment horizontal="center" vertical="center"/>
      <protection hidden="1"/>
    </xf>
    <xf numFmtId="181" fontId="25" fillId="4" borderId="43" xfId="0" applyNumberFormat="1" applyFont="1" applyFill="1" applyBorder="1" applyAlignment="1" applyProtection="1">
      <alignment horizontal="center" vertical="center"/>
      <protection hidden="1"/>
    </xf>
    <xf numFmtId="192" fontId="25" fillId="4" borderId="43" xfId="0" applyNumberFormat="1" applyFont="1" applyFill="1" applyBorder="1" applyAlignment="1" applyProtection="1">
      <alignment horizontal="center" vertical="center"/>
      <protection hidden="1"/>
    </xf>
    <xf numFmtId="177" fontId="25" fillId="4" borderId="43" xfId="0" applyNumberFormat="1" applyFont="1" applyFill="1" applyBorder="1" applyAlignment="1" applyProtection="1">
      <alignment horizontal="center" vertical="center"/>
      <protection hidden="1"/>
    </xf>
    <xf numFmtId="0" fontId="24" fillId="0" borderId="0" xfId="0" applyFont="1" applyFill="1" applyProtection="1">
      <alignment vertical="center"/>
      <protection hidden="1"/>
    </xf>
    <xf numFmtId="0" fontId="22" fillId="0" borderId="0" xfId="0" applyFont="1" applyFill="1" applyAlignment="1" applyProtection="1">
      <alignment horizontal="right" vertical="center"/>
      <protection hidden="1"/>
    </xf>
    <xf numFmtId="0" fontId="25" fillId="0" borderId="0" xfId="0" applyFont="1" applyFill="1" applyBorder="1" applyAlignment="1" applyProtection="1">
      <alignment horizontal="center" vertical="center"/>
      <protection hidden="1"/>
    </xf>
    <xf numFmtId="181" fontId="24" fillId="0" borderId="0" xfId="0" applyNumberFormat="1" applyFont="1" applyFill="1" applyBorder="1" applyAlignment="1" applyProtection="1">
      <alignment horizontal="center" vertical="center"/>
      <protection hidden="1"/>
    </xf>
    <xf numFmtId="192" fontId="24" fillId="0" borderId="0" xfId="0" applyNumberFormat="1" applyFont="1" applyFill="1" applyBorder="1" applyAlignment="1" applyProtection="1">
      <alignment horizontal="center" vertical="center"/>
      <protection hidden="1"/>
    </xf>
    <xf numFmtId="177" fontId="24" fillId="0" borderId="0" xfId="0" applyNumberFormat="1" applyFont="1" applyFill="1" applyBorder="1" applyAlignment="1" applyProtection="1">
      <alignment horizontal="center" vertical="center"/>
      <protection hidden="1"/>
    </xf>
    <xf numFmtId="179" fontId="24" fillId="0" borderId="68" xfId="0" applyNumberFormat="1" applyFont="1" applyBorder="1" applyAlignment="1" applyProtection="1">
      <alignment horizontal="center" vertical="center"/>
      <protection hidden="1"/>
    </xf>
    <xf numFmtId="0" fontId="27" fillId="0" borderId="5" xfId="0" applyFont="1" applyBorder="1" applyAlignment="1" applyProtection="1">
      <alignment horizontal="center" vertical="center" shrinkToFit="1"/>
      <protection hidden="1"/>
    </xf>
    <xf numFmtId="0" fontId="27" fillId="0" borderId="69" xfId="0" applyFont="1" applyBorder="1" applyAlignment="1" applyProtection="1">
      <alignment horizontal="center" vertical="center" shrinkToFit="1"/>
      <protection hidden="1"/>
    </xf>
    <xf numFmtId="179" fontId="24" fillId="0" borderId="43" xfId="0" applyNumberFormat="1" applyFont="1" applyBorder="1" applyAlignment="1" applyProtection="1">
      <alignment horizontal="center" vertical="center"/>
      <protection hidden="1"/>
    </xf>
    <xf numFmtId="0" fontId="25" fillId="4" borderId="3" xfId="0" applyFont="1" applyFill="1" applyBorder="1" applyAlignment="1" applyProtection="1">
      <alignment horizontal="center" vertical="center"/>
      <protection hidden="1"/>
    </xf>
    <xf numFmtId="181" fontId="25" fillId="4" borderId="3" xfId="0" applyNumberFormat="1" applyFont="1" applyFill="1" applyBorder="1" applyAlignment="1" applyProtection="1">
      <alignment horizontal="center" vertical="center"/>
      <protection hidden="1"/>
    </xf>
    <xf numFmtId="179" fontId="25" fillId="4" borderId="3" xfId="0" applyNumberFormat="1" applyFont="1" applyFill="1" applyBorder="1" applyAlignment="1" applyProtection="1">
      <alignment horizontal="center" vertical="center"/>
      <protection hidden="1"/>
    </xf>
    <xf numFmtId="177" fontId="25" fillId="4" borderId="3" xfId="0" applyNumberFormat="1" applyFont="1" applyFill="1" applyBorder="1" applyAlignment="1" applyProtection="1">
      <alignment horizontal="center" vertical="center"/>
      <protection hidden="1"/>
    </xf>
    <xf numFmtId="0" fontId="25" fillId="0" borderId="37" xfId="0" applyFont="1" applyBorder="1" applyAlignment="1" applyProtection="1">
      <alignment horizontal="left" vertical="center"/>
      <protection hidden="1"/>
    </xf>
    <xf numFmtId="0" fontId="24" fillId="0" borderId="1" xfId="0" applyFont="1" applyBorder="1" applyAlignment="1" applyProtection="1">
      <alignment horizontal="center" vertical="center" wrapText="1"/>
      <protection hidden="1"/>
    </xf>
    <xf numFmtId="0" fontId="24" fillId="0" borderId="68" xfId="0" applyFont="1" applyBorder="1" applyAlignment="1" applyProtection="1">
      <alignment horizontal="center" vertical="center" wrapText="1"/>
      <protection hidden="1"/>
    </xf>
    <xf numFmtId="0" fontId="27" fillId="4" borderId="72" xfId="0" applyFont="1" applyFill="1" applyBorder="1" applyAlignment="1" applyProtection="1">
      <alignment horizontal="center" vertical="center"/>
      <protection hidden="1"/>
    </xf>
    <xf numFmtId="185" fontId="24" fillId="4" borderId="43" xfId="0" applyNumberFormat="1" applyFont="1" applyFill="1" applyBorder="1" applyAlignment="1" applyProtection="1">
      <alignment horizontal="center" vertical="center"/>
      <protection hidden="1"/>
    </xf>
    <xf numFmtId="0" fontId="24" fillId="0" borderId="1" xfId="0" applyFont="1" applyFill="1" applyBorder="1" applyAlignment="1" applyProtection="1">
      <alignment horizontal="center" vertical="center"/>
      <protection hidden="1"/>
    </xf>
    <xf numFmtId="0" fontId="24" fillId="0" borderId="3" xfId="0" applyFont="1" applyBorder="1" applyAlignment="1" applyProtection="1">
      <alignment horizontal="center" vertical="center"/>
      <protection hidden="1"/>
    </xf>
    <xf numFmtId="181" fontId="24" fillId="0" borderId="3" xfId="0" applyNumberFormat="1" applyFont="1" applyBorder="1" applyAlignment="1" applyProtection="1">
      <alignment horizontal="center" vertical="center"/>
      <protection hidden="1"/>
    </xf>
    <xf numFmtId="179" fontId="24" fillId="0" borderId="3" xfId="0" applyNumberFormat="1" applyFont="1" applyBorder="1" applyAlignment="1" applyProtection="1">
      <alignment horizontal="center" vertical="center"/>
      <protection hidden="1"/>
    </xf>
    <xf numFmtId="177" fontId="24" fillId="0" borderId="3" xfId="0" applyNumberFormat="1" applyFont="1" applyBorder="1" applyAlignment="1" applyProtection="1">
      <alignment horizontal="center" vertical="center"/>
      <protection hidden="1"/>
    </xf>
    <xf numFmtId="185" fontId="24" fillId="0" borderId="3" xfId="0" applyNumberFormat="1" applyFont="1" applyBorder="1" applyAlignment="1" applyProtection="1">
      <alignment horizontal="center" vertical="center"/>
      <protection hidden="1"/>
    </xf>
    <xf numFmtId="0" fontId="21" fillId="0" borderId="0" xfId="0" applyFont="1" applyAlignment="1">
      <alignment horizontal="center" vertical="center"/>
    </xf>
    <xf numFmtId="0" fontId="21" fillId="0" borderId="34" xfId="0" applyFont="1" applyBorder="1">
      <alignment vertical="center"/>
    </xf>
    <xf numFmtId="0" fontId="21" fillId="0" borderId="0" xfId="0" applyFont="1" applyAlignment="1">
      <alignment horizontal="left" vertical="center"/>
    </xf>
    <xf numFmtId="0" fontId="33" fillId="0" borderId="0" xfId="0" applyFont="1" applyAlignment="1">
      <alignment horizontal="left" vertical="center"/>
    </xf>
    <xf numFmtId="0" fontId="22" fillId="0" borderId="34" xfId="0" applyFont="1" applyBorder="1">
      <alignment vertical="center"/>
    </xf>
    <xf numFmtId="0" fontId="22" fillId="0" borderId="0" xfId="0" applyFont="1" applyAlignment="1">
      <alignment horizontal="center" vertical="center"/>
    </xf>
    <xf numFmtId="0" fontId="24" fillId="0" borderId="34" xfId="0" applyFont="1" applyBorder="1">
      <alignment vertical="center"/>
    </xf>
    <xf numFmtId="0" fontId="34" fillId="0" borderId="34" xfId="0" applyFont="1" applyBorder="1">
      <alignment vertical="center"/>
    </xf>
    <xf numFmtId="0" fontId="34" fillId="0" borderId="0" xfId="0" applyFont="1" applyAlignment="1">
      <alignment horizontal="center" vertical="center"/>
    </xf>
    <xf numFmtId="0" fontId="22" fillId="4" borderId="72" xfId="0" applyFont="1" applyFill="1" applyBorder="1" applyAlignment="1" applyProtection="1">
      <alignment horizontal="center" vertical="center"/>
      <protection hidden="1"/>
    </xf>
    <xf numFmtId="0" fontId="21" fillId="0" borderId="0" xfId="0" applyFont="1" applyBorder="1">
      <alignment vertical="center"/>
    </xf>
    <xf numFmtId="0" fontId="36" fillId="0" borderId="0" xfId="0" applyFont="1">
      <alignment vertical="center"/>
    </xf>
    <xf numFmtId="0" fontId="37" fillId="0" borderId="0" xfId="0" applyFont="1">
      <alignment vertical="center"/>
    </xf>
    <xf numFmtId="0" fontId="21" fillId="9" borderId="0" xfId="0" applyFont="1" applyFill="1" applyAlignment="1">
      <alignment horizontal="center" vertical="center"/>
    </xf>
    <xf numFmtId="0" fontId="36" fillId="9" borderId="0" xfId="0" applyFont="1" applyFill="1">
      <alignment vertical="center"/>
    </xf>
    <xf numFmtId="0" fontId="37" fillId="9" borderId="0" xfId="0" applyFont="1" applyFill="1">
      <alignment vertical="center"/>
    </xf>
    <xf numFmtId="0" fontId="38" fillId="9" borderId="0" xfId="0" applyFont="1" applyFill="1" applyBorder="1">
      <alignment vertical="center"/>
    </xf>
    <xf numFmtId="0" fontId="39" fillId="0" borderId="0" xfId="0" applyFont="1">
      <alignment vertical="center"/>
    </xf>
    <xf numFmtId="0" fontId="40" fillId="9" borderId="0" xfId="0" applyFont="1" applyFill="1" applyBorder="1">
      <alignment vertical="center"/>
    </xf>
    <xf numFmtId="0" fontId="40" fillId="9" borderId="0" xfId="0" applyFont="1" applyFill="1">
      <alignment vertical="center"/>
    </xf>
    <xf numFmtId="0" fontId="39" fillId="9" borderId="0" xfId="0" applyFont="1" applyFill="1" applyAlignment="1">
      <alignment horizontal="center" vertical="center"/>
    </xf>
    <xf numFmtId="0" fontId="40" fillId="9" borderId="0" xfId="0" applyFont="1" applyFill="1" applyAlignment="1">
      <alignment horizontal="left" vertical="center"/>
    </xf>
    <xf numFmtId="0" fontId="40" fillId="0" borderId="0" xfId="0" applyFont="1">
      <alignment vertical="center"/>
    </xf>
    <xf numFmtId="0" fontId="21" fillId="0" borderId="0" xfId="0" applyFont="1" applyAlignment="1">
      <alignment horizontal="center" vertical="center"/>
    </xf>
    <xf numFmtId="0" fontId="7" fillId="0" borderId="0" xfId="0" applyFont="1">
      <alignment vertical="center"/>
    </xf>
    <xf numFmtId="0" fontId="24" fillId="0" borderId="1" xfId="0" applyFont="1" applyBorder="1" applyAlignment="1" applyProtection="1">
      <alignment horizontal="center" vertical="center"/>
      <protection hidden="1"/>
    </xf>
    <xf numFmtId="0" fontId="24" fillId="0" borderId="4" xfId="0" applyFont="1" applyBorder="1" applyAlignment="1" applyProtection="1">
      <alignment horizontal="center" vertical="center"/>
      <protection hidden="1"/>
    </xf>
    <xf numFmtId="0" fontId="24" fillId="0" borderId="42" xfId="0" applyFont="1" applyBorder="1" applyAlignment="1" applyProtection="1">
      <alignment horizontal="center" vertical="center"/>
      <protection hidden="1"/>
    </xf>
    <xf numFmtId="0" fontId="24" fillId="0" borderId="47" xfId="0" applyFont="1" applyBorder="1" applyAlignment="1" applyProtection="1">
      <alignment horizontal="center" vertical="center"/>
      <protection hidden="1"/>
    </xf>
    <xf numFmtId="0" fontId="21" fillId="0" borderId="0" xfId="0" applyFont="1" applyAlignment="1">
      <alignment horizontal="center" vertical="center"/>
    </xf>
    <xf numFmtId="0" fontId="24" fillId="0" borderId="0" xfId="0" applyFont="1" applyBorder="1" applyAlignment="1" applyProtection="1">
      <alignment horizontal="center" vertical="center"/>
      <protection hidden="1"/>
    </xf>
    <xf numFmtId="0" fontId="24" fillId="3" borderId="0" xfId="0" applyFont="1" applyFill="1" applyProtection="1">
      <alignment vertical="center"/>
      <protection hidden="1"/>
    </xf>
    <xf numFmtId="0" fontId="10" fillId="0" borderId="0" xfId="0" applyFont="1" applyFill="1" applyAlignment="1">
      <alignment vertical="center"/>
    </xf>
    <xf numFmtId="0" fontId="9" fillId="0" borderId="0" xfId="0" applyFont="1" applyFill="1" applyAlignment="1">
      <alignment vertical="center"/>
    </xf>
    <xf numFmtId="0" fontId="9" fillId="0" borderId="0" xfId="0" applyFont="1" applyFill="1">
      <alignment vertical="center"/>
    </xf>
    <xf numFmtId="0" fontId="10" fillId="0" borderId="0" xfId="0" applyFont="1" applyFill="1">
      <alignment vertical="center"/>
    </xf>
    <xf numFmtId="0" fontId="19" fillId="0" borderId="0" xfId="0" applyFont="1" applyFill="1">
      <alignment vertical="center"/>
    </xf>
    <xf numFmtId="0" fontId="35"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179" fontId="28" fillId="3" borderId="36" xfId="0" applyNumberFormat="1" applyFont="1" applyFill="1" applyBorder="1" applyAlignment="1" applyProtection="1">
      <alignment horizontal="left" vertical="center" shrinkToFit="1"/>
      <protection hidden="1"/>
    </xf>
    <xf numFmtId="0" fontId="27" fillId="0" borderId="42" xfId="0" applyFont="1" applyBorder="1" applyAlignment="1" applyProtection="1">
      <alignment horizontal="center"/>
      <protection hidden="1"/>
    </xf>
    <xf numFmtId="0" fontId="30" fillId="0" borderId="0" xfId="0" applyFont="1" applyAlignment="1">
      <alignment horizontal="center" vertical="center"/>
    </xf>
    <xf numFmtId="14" fontId="24" fillId="0" borderId="0" xfId="0" applyNumberFormat="1" applyFont="1" applyAlignment="1" applyProtection="1">
      <alignment horizontal="center" vertical="center"/>
      <protection locked="0"/>
    </xf>
    <xf numFmtId="0" fontId="24" fillId="0" borderId="75" xfId="0" applyFont="1" applyBorder="1" applyAlignment="1" applyProtection="1">
      <alignment horizontal="center" vertical="center"/>
      <protection hidden="1"/>
    </xf>
    <xf numFmtId="0" fontId="24" fillId="0" borderId="38" xfId="0" applyFont="1" applyBorder="1" applyAlignment="1" applyProtection="1">
      <alignment horizontal="center" vertical="center"/>
      <protection hidden="1"/>
    </xf>
    <xf numFmtId="0" fontId="24" fillId="0" borderId="76" xfId="0" applyFont="1" applyBorder="1" applyAlignment="1" applyProtection="1">
      <alignment horizontal="center" vertical="center"/>
      <protection hidden="1"/>
    </xf>
    <xf numFmtId="0" fontId="23" fillId="0" borderId="42" xfId="0" applyFont="1" applyBorder="1" applyAlignment="1" applyProtection="1">
      <alignment horizontal="center" vertical="center" wrapText="1"/>
      <protection hidden="1"/>
    </xf>
    <xf numFmtId="0" fontId="23" fillId="0" borderId="47" xfId="0" applyFont="1" applyBorder="1" applyAlignment="1" applyProtection="1">
      <alignment horizontal="center" vertical="center"/>
      <protection hidden="1"/>
    </xf>
    <xf numFmtId="0" fontId="24" fillId="0" borderId="0" xfId="0" applyFont="1" applyBorder="1" applyAlignment="1" applyProtection="1">
      <alignment horizontal="left" vertical="center"/>
      <protection hidden="1"/>
    </xf>
    <xf numFmtId="0" fontId="24" fillId="0" borderId="1" xfId="0" applyFont="1" applyBorder="1" applyAlignment="1" applyProtection="1">
      <alignment horizontal="center" vertical="center" wrapText="1"/>
      <protection hidden="1"/>
    </xf>
    <xf numFmtId="0" fontId="24" fillId="0" borderId="68" xfId="0" applyFont="1" applyBorder="1" applyAlignment="1" applyProtection="1">
      <alignment horizontal="center" vertical="center" wrapText="1"/>
      <protection hidden="1"/>
    </xf>
    <xf numFmtId="0" fontId="32" fillId="0" borderId="2" xfId="0" applyFont="1" applyBorder="1" applyAlignment="1" applyProtection="1">
      <alignment horizontal="center" vertical="center"/>
      <protection hidden="1"/>
    </xf>
    <xf numFmtId="0" fontId="32" fillId="0" borderId="36" xfId="0" applyFont="1" applyBorder="1" applyAlignment="1" applyProtection="1">
      <alignment horizontal="center" vertical="center"/>
      <protection hidden="1"/>
    </xf>
    <xf numFmtId="0" fontId="32" fillId="0" borderId="77" xfId="0" applyFont="1" applyBorder="1" applyAlignment="1" applyProtection="1">
      <alignment horizontal="center" vertical="center"/>
      <protection hidden="1"/>
    </xf>
    <xf numFmtId="0" fontId="32" fillId="0" borderId="5" xfId="0" applyFont="1" applyBorder="1" applyAlignment="1" applyProtection="1">
      <alignment horizontal="center" vertical="center"/>
      <protection hidden="1"/>
    </xf>
    <xf numFmtId="0" fontId="32" fillId="0" borderId="37" xfId="0" applyFont="1" applyBorder="1" applyAlignment="1" applyProtection="1">
      <alignment horizontal="center" vertical="center"/>
      <protection hidden="1"/>
    </xf>
    <xf numFmtId="0" fontId="32" fillId="0" borderId="70" xfId="0" applyFont="1" applyBorder="1" applyAlignment="1" applyProtection="1">
      <alignment horizontal="center" vertical="center"/>
      <protection hidden="1"/>
    </xf>
    <xf numFmtId="0" fontId="24" fillId="0" borderId="1" xfId="0" applyFont="1" applyFill="1" applyBorder="1" applyAlignment="1" applyProtection="1">
      <alignment horizontal="center" vertical="center"/>
      <protection hidden="1"/>
    </xf>
    <xf numFmtId="0" fontId="24" fillId="0" borderId="4" xfId="0" applyFont="1" applyFill="1" applyBorder="1" applyAlignment="1" applyProtection="1">
      <alignment horizontal="center" vertical="center"/>
      <protection hidden="1"/>
    </xf>
    <xf numFmtId="0" fontId="24" fillId="0" borderId="1" xfId="0" applyFont="1" applyBorder="1" applyAlignment="1" applyProtection="1">
      <alignment horizontal="center" vertical="center"/>
      <protection hidden="1"/>
    </xf>
    <xf numFmtId="0" fontId="24" fillId="0" borderId="4" xfId="0" applyFont="1" applyBorder="1" applyAlignment="1" applyProtection="1">
      <alignment horizontal="center" vertical="center"/>
      <protection hidden="1"/>
    </xf>
    <xf numFmtId="0" fontId="24" fillId="0" borderId="42" xfId="0" applyFont="1" applyBorder="1" applyAlignment="1" applyProtection="1">
      <alignment horizontal="center" vertical="center"/>
      <protection hidden="1"/>
    </xf>
    <xf numFmtId="0" fontId="24" fillId="0" borderId="47" xfId="0" applyFont="1" applyBorder="1" applyAlignment="1" applyProtection="1">
      <alignment horizontal="center" vertical="center"/>
      <protection hidden="1"/>
    </xf>
    <xf numFmtId="0" fontId="2" fillId="0" borderId="3" xfId="1" applyNumberFormat="1" applyFill="1" applyBorder="1" applyAlignment="1">
      <alignment horizontal="center" vertical="center"/>
    </xf>
  </cellXfs>
  <cellStyles count="2">
    <cellStyle name="標準" xfId="0" builtinId="0"/>
    <cellStyle name="標準 2" xfId="1"/>
  </cellStyles>
  <dxfs count="3">
    <dxf>
      <font>
        <color rgb="FFFF0000"/>
      </font>
      <fill>
        <patternFill>
          <bgColor theme="7" tint="0.79998168889431442"/>
        </patternFill>
      </fill>
    </dxf>
    <dxf>
      <font>
        <color rgb="FFFF0000"/>
      </font>
      <fill>
        <patternFill>
          <bgColor theme="7" tint="0.79998168889431442"/>
        </patternFill>
      </fill>
    </dxf>
    <dxf>
      <font>
        <color rgb="FFFF0000"/>
      </font>
      <fill>
        <patternFill>
          <bgColor theme="7" tint="0.79998168889431442"/>
        </patternFill>
      </fill>
    </dxf>
  </dxfs>
  <tableStyles count="0" defaultTableStyle="TableStyleMedium2" defaultPivotStyle="PivotStyleLight16"/>
  <colors>
    <mruColors>
      <color rgb="FF66FFFF"/>
      <color rgb="FF99FFCC"/>
      <color rgb="FF00FF99"/>
      <color rgb="FFCCFFFF"/>
      <color rgb="FFCCFFCC"/>
      <color rgb="FF0000FF"/>
      <color rgb="FFFFCC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ja-JP"/>
              <a:t>樹高</a:t>
            </a:r>
            <a:endParaRPr lang="en-US"/>
          </a:p>
        </c:rich>
      </c:tx>
      <c:layout>
        <c:manualLayout>
          <c:xMode val="edge"/>
          <c:yMode val="edge"/>
          <c:x val="0.43660325306052072"/>
          <c:y val="0"/>
        </c:manualLayout>
      </c:layout>
      <c:overlay val="0"/>
      <c:spPr>
        <a:noFill/>
        <a:ln>
          <a:noFill/>
        </a:ln>
        <a:effectLst/>
      </c:spPr>
    </c:title>
    <c:autoTitleDeleted val="0"/>
    <c:plotArea>
      <c:layout>
        <c:manualLayout>
          <c:layoutTarget val="inner"/>
          <c:xMode val="edge"/>
          <c:yMode val="edge"/>
          <c:x val="5.465718846999796E-2"/>
          <c:y val="0.11967290520845698"/>
          <c:w val="0.90049254152509284"/>
          <c:h val="0.77083475118374023"/>
        </c:manualLayout>
      </c:layout>
      <c:scatterChart>
        <c:scatterStyle val="lineMarker"/>
        <c:varyColors val="0"/>
        <c:ser>
          <c:idx val="0"/>
          <c:order val="0"/>
          <c:tx>
            <c:v>手動・自動共通</c:v>
          </c:tx>
          <c:spPr>
            <a:ln>
              <a:solidFill>
                <a:schemeClr val="accent1"/>
              </a:solidFill>
            </a:ln>
          </c:spPr>
          <c:marker>
            <c:symbol val="none"/>
          </c:marker>
          <c:xVal>
            <c:numRef>
              <c:f>'b（手動）計算用'!$D$5:$D$115</c:f>
              <c:numCache>
                <c:formatCode>General</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'b（手動）計算用'!$G$5:$G$115</c:f>
              <c:numCache>
                <c:formatCode>0.0_ </c:formatCode>
                <c:ptCount val="111"/>
                <c:pt idx="0">
                  <c:v>7.005377668918638</c:v>
                </c:pt>
                <c:pt idx="1">
                  <c:v>7.6866187767008665</c:v>
                </c:pt>
                <c:pt idx="2">
                  <c:v>8.3560214438217386</c:v>
                </c:pt>
                <c:pt idx="3">
                  <c:v>9.0132564321920068</c:v>
                </c:pt>
                <c:pt idx="4">
                  <c:v>9.6580943635452208</c:v>
                </c:pt>
                <c:pt idx="5">
                  <c:v>10.290382189294702</c:v>
                </c:pt>
                <c:pt idx="6">
                  <c:v>10.910026199109787</c:v>
                </c:pt>
                <c:pt idx="7">
                  <c:v>11.516979531457144</c:v>
                </c:pt>
                <c:pt idx="8">
                  <c:v>12.111232869455735</c:v>
                </c:pt>
                <c:pt idx="9">
                  <c:v>12.692807439777415</c:v>
                </c:pt>
                <c:pt idx="10">
                  <c:v>13.261749704127018</c:v>
                </c:pt>
                <c:pt idx="11">
                  <c:v>13.818127308626075</c:v>
                </c:pt>
                <c:pt idx="12">
                  <c:v>14.362025973710765</c:v>
                </c:pt>
                <c:pt idx="13">
                  <c:v>14.893547087821741</c:v>
                </c:pt>
                <c:pt idx="14">
                  <c:v>15.412805825357026</c:v>
                </c:pt>
                <c:pt idx="15">
                  <c:v>15.919929651162615</c:v>
                </c:pt>
                <c:pt idx="16">
                  <c:v>16.415057105306442</c:v>
                </c:pt>
                <c:pt idx="17">
                  <c:v>16.898336786226629</c:v>
                </c:pt>
                <c:pt idx="18">
                  <c:v>17.369926469612402</c:v>
                </c:pt>
                <c:pt idx="19">
                  <c:v>17.829992315883583</c:v>
                </c:pt>
                <c:pt idx="20">
                  <c:v>18.278708131736447</c:v>
                </c:pt>
                <c:pt idx="21">
                  <c:v>18.716254661483859</c:v>
                </c:pt>
                <c:pt idx="22">
                  <c:v>19.142818892220774</c:v>
                </c:pt>
                <c:pt idx="23">
                  <c:v>19.558593363470184</c:v>
                </c:pt>
                <c:pt idx="24">
                  <c:v>19.963775477128916</c:v>
                </c:pt>
                <c:pt idx="25">
                  <c:v>20.358566807421841</c:v>
                </c:pt>
                <c:pt idx="26">
                  <c:v>20.743172413359066</c:v>
                </c:pt>
                <c:pt idx="27">
                  <c:v>21.117800158034136</c:v>
                </c:pt>
                <c:pt idx="28">
                  <c:v>21.482660040158859</c:v>
                </c:pt>
                <c:pt idx="29">
                  <c:v>21.837963543650535</c:v>
                </c:pt>
                <c:pt idx="30">
                  <c:v>22.183923011010634</c:v>
                </c:pt>
                <c:pt idx="31">
                  <c:v>22.520751045788124</c:v>
                </c:pt>
                <c:pt idx="32">
                  <c:v>22.848659948719757</c:v>
                </c:pt>
                <c:pt idx="33">
                  <c:v>23.167861191282384</c:v>
                </c:pt>
                <c:pt idx="34">
                  <c:v>23.478564929459516</c:v>
                </c:pt>
                <c:pt idx="35">
                  <c:v>23.780979559582203</c:v>
                </c:pt>
                <c:pt idx="36">
                  <c:v>24.075311317201503</c:v>
                </c:pt>
                <c:pt idx="37">
                  <c:v>24.361763919122062</c:v>
                </c:pt>
                <c:pt idx="38">
                  <c:v>24.64053824799684</c:v>
                </c:pt>
                <c:pt idx="39">
                  <c:v>24.911832078263824</c:v>
                </c:pt>
                <c:pt idx="40">
                  <c:v>25.175839841701567</c:v>
                </c:pt>
                <c:pt idx="41">
                  <c:v>25.432752430488847</c:v>
                </c:pt>
                <c:pt idx="42">
                  <c:v>25.682757035368347</c:v>
                </c:pt>
                <c:pt idx="43">
                  <c:v>25.926037016324717</c:v>
                </c:pt>
                <c:pt idx="44">
                  <c:v>26.162771803082592</c:v>
                </c:pt>
                <c:pt idx="45">
                  <c:v>26.393136822696903</c:v>
                </c:pt>
                <c:pt idx="46">
                  <c:v>26.617303451534312</c:v>
                </c:pt>
                <c:pt idx="47">
                  <c:v>26.835438989018716</c:v>
                </c:pt>
                <c:pt idx="48">
                  <c:v>27.047706650624068</c:v>
                </c:pt>
                <c:pt idx="49">
                  <c:v>27.25426557773557</c:v>
                </c:pt>
                <c:pt idx="50">
                  <c:v>27.455270862155562</c:v>
                </c:pt>
                <c:pt idx="51">
                  <c:v>27.650873583197519</c:v>
                </c:pt>
                <c:pt idx="52">
                  <c:v>27.841220855483183</c:v>
                </c:pt>
                <c:pt idx="53">
                  <c:v>28.026455885730172</c:v>
                </c:pt>
                <c:pt idx="54">
                  <c:v>28.206718036985855</c:v>
                </c:pt>
                <c:pt idx="55">
                  <c:v>28.382142898926077</c:v>
                </c:pt>
                <c:pt idx="56">
                  <c:v>28.552862362990862</c:v>
                </c:pt>
                <c:pt idx="57">
                  <c:v>28.719004701274081</c:v>
                </c:pt>
                <c:pt idx="58">
                  <c:v>28.880694648217556</c:v>
                </c:pt>
                <c:pt idx="59">
                  <c:v>29.038053484283193</c:v>
                </c:pt>
                <c:pt idx="60">
                  <c:v>29.191199120888513</c:v>
                </c:pt>
                <c:pt idx="61">
                  <c:v>29.340246185992296</c:v>
                </c:pt>
                <c:pt idx="62">
                  <c:v>29.485306109807635</c:v>
                </c:pt>
                <c:pt idx="63">
                  <c:v>29.62648721020097</c:v>
                </c:pt>
                <c:pt idx="64">
                  <c:v>29.763894777407348</c:v>
                </c:pt>
                <c:pt idx="65">
                  <c:v>29.897631157755349</c:v>
                </c:pt>
                <c:pt idx="66">
                  <c:v>30.027795836151071</c:v>
                </c:pt>
                <c:pt idx="67">
                  <c:v>30.154485517118435</c:v>
                </c:pt>
                <c:pt idx="68">
                  <c:v>30.277794204235548</c:v>
                </c:pt>
                <c:pt idx="69">
                  <c:v>30.397813277842882</c:v>
                </c:pt>
                <c:pt idx="70">
                  <c:v>30.514631570930302</c:v>
                </c:pt>
                <c:pt idx="71">
                  <c:v>30.628335443136372</c:v>
                </c:pt>
                <c:pt idx="72">
                  <c:v>30.739008852816088</c:v>
                </c:pt>
                <c:pt idx="73">
                  <c:v>30.846733427152206</c:v>
                </c:pt>
                <c:pt idx="74">
                  <c:v>30.951588530301056</c:v>
                </c:pt>
                <c:pt idx="75">
                  <c:v>31.053651329577239</c:v>
                </c:pt>
                <c:pt idx="76">
                  <c:v>31.152996859692191</c:v>
                </c:pt>
                <c:pt idx="77">
                  <c:v>31.249698085070811</c:v>
                </c:pt>
                <c:pt idx="78">
                  <c:v>31.34382596027713</c:v>
                </c:pt>
                <c:pt idx="79">
                  <c:v>31.435449488585853</c:v>
                </c:pt>
                <c:pt idx="80">
                  <c:v>31.52463577874099</c:v>
                </c:pt>
                <c:pt idx="81">
                  <c:v>31.611450099945927</c:v>
                </c:pt>
                <c:pt idx="82">
                  <c:v>31.695955935131838</c:v>
                </c:pt>
                <c:pt idx="83">
                  <c:v>31.778215032552865</c:v>
                </c:pt>
                <c:pt idx="84">
                  <c:v>31.858287455757491</c:v>
                </c:pt>
                <c:pt idx="85">
                  <c:v>31.936231631986093</c:v>
                </c:pt>
                <c:pt idx="86">
                  <c:v>32.012104399044432</c:v>
                </c:pt>
                <c:pt idx="87">
                  <c:v>32.085961050702814</c:v>
                </c:pt>
                <c:pt idx="88">
                  <c:v>32.157855380669837</c:v>
                </c:pt>
                <c:pt idx="89">
                  <c:v>32.227839725188701</c:v>
                </c:pt>
                <c:pt idx="90">
                  <c:v>32.295965004303454</c:v>
                </c:pt>
                <c:pt idx="91">
                  <c:v>32.362280761840779</c:v>
                </c:pt>
                <c:pt idx="92">
                  <c:v>32.426835204152212</c:v>
                </c:pt>
                <c:pt idx="93">
                  <c:v>32.489675237659988</c:v>
                </c:pt>
                <c:pt idx="94">
                  <c:v>32.550846505248529</c:v>
                </c:pt>
                <c:pt idx="95">
                  <c:v>32.610393421542035</c:v>
                </c:pt>
                <c:pt idx="96">
                  <c:v>32.668359207107322</c:v>
                </c:pt>
                <c:pt idx="97">
                  <c:v>32.724785921619691</c:v>
                </c:pt>
                <c:pt idx="98">
                  <c:v>32.779714496027857</c:v>
                </c:pt>
                <c:pt idx="99">
                  <c:v>32.833184763753202</c:v>
                </c:pt>
                <c:pt idx="100">
                  <c:v>32.885235490956617</c:v>
                </c:pt>
                <c:pt idx="101">
                  <c:v>32.935904405905355</c:v>
                </c:pt>
                <c:pt idx="102">
                  <c:v>32.985228227470728</c:v>
                </c:pt>
                <c:pt idx="103">
                  <c:v>33.033242692786509</c:v>
                </c:pt>
                <c:pt idx="104">
                  <c:v>33.079982584096534</c:v>
                </c:pt>
                <c:pt idx="105">
                  <c:v>33.1254817548188</c:v>
                </c:pt>
                <c:pt idx="106">
                  <c:v>33.169773154852507</c:v>
                </c:pt>
                <c:pt idx="107">
                  <c:v>33.212888855153139</c:v>
                </c:pt>
                <c:pt idx="108">
                  <c:v>33.254860071599857</c:v>
                </c:pt>
                <c:pt idx="109">
                  <c:v>33.295717188178457</c:v>
                </c:pt>
                <c:pt idx="110">
                  <c:v>33.335489779502211</c:v>
                </c:pt>
              </c:numCache>
            </c:numRef>
          </c:yVal>
          <c:smooth val="0"/>
          <c:extLst>
            <c:ext xmlns:c16="http://schemas.microsoft.com/office/drawing/2014/chart" uri="{C3380CC4-5D6E-409C-BE32-E72D297353CC}">
              <c16:uniqueId val="{00000000-24C7-4580-AF8A-A2B3A34FDD90}"/>
            </c:ext>
          </c:extLst>
        </c:ser>
        <c:dLbls>
          <c:showLegendKey val="0"/>
          <c:showVal val="0"/>
          <c:showCatName val="0"/>
          <c:showSerName val="0"/>
          <c:showPercent val="0"/>
          <c:showBubbleSize val="0"/>
        </c:dLbls>
        <c:axId val="914885888"/>
        <c:axId val="914886872"/>
      </c:scatterChart>
      <c:valAx>
        <c:axId val="914885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ysClr val="windowText" lastClr="000000"/>
            </a:solidFill>
            <a:round/>
          </a:ln>
          <a:effectLst/>
        </c:spPr>
        <c:txPr>
          <a:bodyPr rot="-60000000" vert="horz"/>
          <a:lstStyle/>
          <a:p>
            <a:pPr>
              <a:defRPr/>
            </a:pPr>
            <a:endParaRPr lang="ja-JP"/>
          </a:p>
        </c:txPr>
        <c:crossAx val="914886872"/>
        <c:crosses val="autoZero"/>
        <c:crossBetween val="midCat"/>
        <c:majorUnit val="10"/>
      </c:valAx>
      <c:valAx>
        <c:axId val="914886872"/>
        <c:scaling>
          <c:orientation val="minMax"/>
          <c:max val="5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w="9525" cap="flat" cmpd="sng" algn="ctr">
            <a:solidFill>
              <a:sysClr val="windowText" lastClr="000000"/>
            </a:solidFill>
            <a:round/>
          </a:ln>
          <a:effectLst/>
        </c:spPr>
        <c:txPr>
          <a:bodyPr rot="-60000000" vert="horz"/>
          <a:lstStyle/>
          <a:p>
            <a:pPr>
              <a:defRPr/>
            </a:pPr>
            <a:endParaRPr lang="ja-JP"/>
          </a:p>
        </c:txPr>
        <c:crossAx val="914885888"/>
        <c:crosses val="autoZero"/>
        <c:crossBetween val="midCat"/>
        <c:majorUnit val="10"/>
      </c:valAx>
      <c:spPr>
        <a:ln>
          <a:solidFill>
            <a:schemeClr val="tx1"/>
          </a:solidFill>
        </a:ln>
      </c:spPr>
    </c:plotArea>
    <c:legend>
      <c:legendPos val="l"/>
      <c:layout>
        <c:manualLayout>
          <c:xMode val="edge"/>
          <c:yMode val="edge"/>
          <c:x val="0.16058394160583941"/>
          <c:y val="0.1763906144897717"/>
          <c:w val="0.46255493610743914"/>
          <c:h val="0.11167385483849696"/>
        </c:manualLayout>
      </c:layout>
      <c:overlay val="0"/>
      <c:spPr>
        <a:solidFill>
          <a:schemeClr val="bg1"/>
        </a:solidFill>
        <a:ln>
          <a:solidFill>
            <a:sysClr val="windowText" lastClr="000000"/>
          </a:solidFill>
        </a:ln>
      </c:spPr>
    </c:legend>
    <c:plotVisOnly val="1"/>
    <c:dispBlanksAs val="gap"/>
    <c:showDLblsOverMax val="0"/>
  </c:chart>
  <c:spPr>
    <a:ln>
      <a:noFill/>
    </a:ln>
  </c:spPr>
  <c:txPr>
    <a:bodyPr/>
    <a:lstStyle/>
    <a:p>
      <a:pPr>
        <a:defRPr sz="80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樹高</a:t>
            </a:r>
            <a:endParaRPr lang="en-US" altLang="ja-JP"/>
          </a:p>
        </c:rich>
      </c:tx>
      <c:layout>
        <c:manualLayout>
          <c:xMode val="edge"/>
          <c:yMode val="edge"/>
          <c:x val="0.47066666666666668"/>
          <c:y val="0"/>
        </c:manualLayout>
      </c:layout>
      <c:overlay val="0"/>
      <c:spPr>
        <a:noFill/>
        <a:ln>
          <a:noFill/>
        </a:ln>
        <a:effectLst/>
      </c:spPr>
    </c:title>
    <c:autoTitleDeleted val="0"/>
    <c:plotArea>
      <c:layout>
        <c:manualLayout>
          <c:layoutTarget val="inner"/>
          <c:xMode val="edge"/>
          <c:yMode val="edge"/>
          <c:x val="5.465718846999796E-2"/>
          <c:y val="9.1992885015109244E-2"/>
          <c:w val="0.90049254152509284"/>
          <c:h val="0.82443597874814123"/>
        </c:manualLayout>
      </c:layout>
      <c:scatterChart>
        <c:scatterStyle val="lineMarker"/>
        <c:varyColors val="0"/>
        <c:ser>
          <c:idx val="1"/>
          <c:order val="0"/>
          <c:tx>
            <c:v>条件①</c:v>
          </c:tx>
          <c:spPr>
            <a:ln>
              <a:solidFill>
                <a:schemeClr val="accent2"/>
              </a:solidFill>
            </a:ln>
          </c:spPr>
          <c:marker>
            <c:symbol val="none"/>
          </c:marker>
          <c:xVal>
            <c:numRef>
              <c:f>'a（自動）計算用'!$D$5:$D$115</c:f>
              <c:numCache>
                <c:formatCode>General</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'a（自動）計算用'!$G$5:$G$115</c:f>
              <c:numCache>
                <c:formatCode>0.0_ </c:formatCode>
                <c:ptCount val="111"/>
                <c:pt idx="0">
                  <c:v>7.005377668918638</c:v>
                </c:pt>
                <c:pt idx="1">
                  <c:v>7.6866187767008665</c:v>
                </c:pt>
                <c:pt idx="2">
                  <c:v>8.3560214438217386</c:v>
                </c:pt>
                <c:pt idx="3">
                  <c:v>9.0132564321920068</c:v>
                </c:pt>
                <c:pt idx="4">
                  <c:v>9.6580943635452208</c:v>
                </c:pt>
                <c:pt idx="5">
                  <c:v>10.290382189294702</c:v>
                </c:pt>
                <c:pt idx="6">
                  <c:v>10.910026199109787</c:v>
                </c:pt>
                <c:pt idx="7">
                  <c:v>11.516979531457144</c:v>
                </c:pt>
                <c:pt idx="8">
                  <c:v>12.111232869455735</c:v>
                </c:pt>
                <c:pt idx="9">
                  <c:v>12.692807439777415</c:v>
                </c:pt>
                <c:pt idx="10">
                  <c:v>13.261749704127018</c:v>
                </c:pt>
                <c:pt idx="11">
                  <c:v>13.818127308626075</c:v>
                </c:pt>
                <c:pt idx="12">
                  <c:v>14.362025973710765</c:v>
                </c:pt>
                <c:pt idx="13">
                  <c:v>14.893547087821741</c:v>
                </c:pt>
                <c:pt idx="14">
                  <c:v>15.412805825357026</c:v>
                </c:pt>
                <c:pt idx="15">
                  <c:v>15.919929651162615</c:v>
                </c:pt>
                <c:pt idx="16">
                  <c:v>16.415057105306442</c:v>
                </c:pt>
                <c:pt idx="17">
                  <c:v>16.898336786226629</c:v>
                </c:pt>
                <c:pt idx="18">
                  <c:v>17.369926469612402</c:v>
                </c:pt>
                <c:pt idx="19">
                  <c:v>17.829992315883583</c:v>
                </c:pt>
                <c:pt idx="20">
                  <c:v>18.278708131736447</c:v>
                </c:pt>
                <c:pt idx="21">
                  <c:v>18.716254661483859</c:v>
                </c:pt>
                <c:pt idx="22">
                  <c:v>19.142818892220774</c:v>
                </c:pt>
                <c:pt idx="23">
                  <c:v>19.558593363470184</c:v>
                </c:pt>
                <c:pt idx="24">
                  <c:v>19.963775477128916</c:v>
                </c:pt>
                <c:pt idx="25">
                  <c:v>20.358566807421841</c:v>
                </c:pt>
                <c:pt idx="26">
                  <c:v>20.743172413359066</c:v>
                </c:pt>
                <c:pt idx="27">
                  <c:v>21.117800158034136</c:v>
                </c:pt>
                <c:pt idx="28">
                  <c:v>21.482660040158859</c:v>
                </c:pt>
                <c:pt idx="29">
                  <c:v>21.837963543650535</c:v>
                </c:pt>
                <c:pt idx="30">
                  <c:v>22.183923011010634</c:v>
                </c:pt>
                <c:pt idx="31">
                  <c:v>22.520751045788124</c:v>
                </c:pt>
                <c:pt idx="32">
                  <c:v>22.848659948719757</c:v>
                </c:pt>
                <c:pt idx="33">
                  <c:v>23.167861191282384</c:v>
                </c:pt>
                <c:pt idx="34">
                  <c:v>23.478564929459516</c:v>
                </c:pt>
                <c:pt idx="35">
                  <c:v>23.780979559582203</c:v>
                </c:pt>
                <c:pt idx="36">
                  <c:v>24.075311317201503</c:v>
                </c:pt>
                <c:pt idx="37">
                  <c:v>24.361763919122062</c:v>
                </c:pt>
                <c:pt idx="38">
                  <c:v>24.64053824799684</c:v>
                </c:pt>
                <c:pt idx="39">
                  <c:v>24.911832078263824</c:v>
                </c:pt>
                <c:pt idx="40">
                  <c:v>25.175839841701567</c:v>
                </c:pt>
                <c:pt idx="41">
                  <c:v>25.432752430488847</c:v>
                </c:pt>
                <c:pt idx="42">
                  <c:v>25.682757035368347</c:v>
                </c:pt>
                <c:pt idx="43">
                  <c:v>25.926037016324717</c:v>
                </c:pt>
                <c:pt idx="44">
                  <c:v>26.162771803082592</c:v>
                </c:pt>
                <c:pt idx="45">
                  <c:v>26.393136822696903</c:v>
                </c:pt>
                <c:pt idx="46">
                  <c:v>26.617303451534312</c:v>
                </c:pt>
                <c:pt idx="47">
                  <c:v>26.835438989018716</c:v>
                </c:pt>
                <c:pt idx="48">
                  <c:v>27.047706650624068</c:v>
                </c:pt>
                <c:pt idx="49">
                  <c:v>27.25426557773557</c:v>
                </c:pt>
                <c:pt idx="50">
                  <c:v>27.455270862155562</c:v>
                </c:pt>
                <c:pt idx="51">
                  <c:v>27.650873583197519</c:v>
                </c:pt>
                <c:pt idx="52">
                  <c:v>27.841220855483183</c:v>
                </c:pt>
                <c:pt idx="53">
                  <c:v>28.026455885730172</c:v>
                </c:pt>
                <c:pt idx="54">
                  <c:v>28.206718036985855</c:v>
                </c:pt>
                <c:pt idx="55">
                  <c:v>28.382142898926077</c:v>
                </c:pt>
                <c:pt idx="56">
                  <c:v>28.552862362990862</c:v>
                </c:pt>
                <c:pt idx="57">
                  <c:v>28.719004701274081</c:v>
                </c:pt>
                <c:pt idx="58">
                  <c:v>28.880694648217556</c:v>
                </c:pt>
                <c:pt idx="59">
                  <c:v>29.038053484283193</c:v>
                </c:pt>
                <c:pt idx="60">
                  <c:v>29.191199120888513</c:v>
                </c:pt>
                <c:pt idx="61">
                  <c:v>29.340246185992296</c:v>
                </c:pt>
                <c:pt idx="62">
                  <c:v>29.485306109807635</c:v>
                </c:pt>
                <c:pt idx="63">
                  <c:v>29.62648721020097</c:v>
                </c:pt>
                <c:pt idx="64">
                  <c:v>29.763894777407348</c:v>
                </c:pt>
                <c:pt idx="65">
                  <c:v>29.897631157755349</c:v>
                </c:pt>
                <c:pt idx="66">
                  <c:v>30.027795836151071</c:v>
                </c:pt>
                <c:pt idx="67">
                  <c:v>30.154485517118435</c:v>
                </c:pt>
                <c:pt idx="68">
                  <c:v>30.277794204235548</c:v>
                </c:pt>
                <c:pt idx="69">
                  <c:v>30.397813277842882</c:v>
                </c:pt>
                <c:pt idx="70">
                  <c:v>30.514631570930302</c:v>
                </c:pt>
                <c:pt idx="71">
                  <c:v>30.628335443136372</c:v>
                </c:pt>
                <c:pt idx="72">
                  <c:v>30.739008852816088</c:v>
                </c:pt>
                <c:pt idx="73">
                  <c:v>30.846733427152206</c:v>
                </c:pt>
                <c:pt idx="74">
                  <c:v>30.951588530301056</c:v>
                </c:pt>
                <c:pt idx="75">
                  <c:v>31.053651329577239</c:v>
                </c:pt>
                <c:pt idx="76">
                  <c:v>31.152996859692191</c:v>
                </c:pt>
                <c:pt idx="77">
                  <c:v>31.249698085070811</c:v>
                </c:pt>
                <c:pt idx="78">
                  <c:v>31.34382596027713</c:v>
                </c:pt>
                <c:pt idx="79">
                  <c:v>31.435449488585853</c:v>
                </c:pt>
                <c:pt idx="80">
                  <c:v>31.52463577874099</c:v>
                </c:pt>
                <c:pt idx="81">
                  <c:v>31.611450099945927</c:v>
                </c:pt>
                <c:pt idx="82">
                  <c:v>31.695955935131838</c:v>
                </c:pt>
                <c:pt idx="83">
                  <c:v>31.778215032552865</c:v>
                </c:pt>
                <c:pt idx="84">
                  <c:v>31.858287455757491</c:v>
                </c:pt>
                <c:pt idx="85">
                  <c:v>31.936231631986093</c:v>
                </c:pt>
                <c:pt idx="86">
                  <c:v>32.012104399044432</c:v>
                </c:pt>
                <c:pt idx="87">
                  <c:v>32.085961050702814</c:v>
                </c:pt>
                <c:pt idx="88">
                  <c:v>32.157855380669837</c:v>
                </c:pt>
                <c:pt idx="89">
                  <c:v>32.227839725188701</c:v>
                </c:pt>
                <c:pt idx="90">
                  <c:v>32.295965004303454</c:v>
                </c:pt>
                <c:pt idx="91">
                  <c:v>32.362280761840779</c:v>
                </c:pt>
                <c:pt idx="92">
                  <c:v>32.426835204152212</c:v>
                </c:pt>
                <c:pt idx="93">
                  <c:v>32.489675237659988</c:v>
                </c:pt>
                <c:pt idx="94">
                  <c:v>32.550846505248529</c:v>
                </c:pt>
                <c:pt idx="95">
                  <c:v>32.610393421542035</c:v>
                </c:pt>
                <c:pt idx="96">
                  <c:v>32.668359207107322</c:v>
                </c:pt>
                <c:pt idx="97">
                  <c:v>32.724785921619691</c:v>
                </c:pt>
                <c:pt idx="98">
                  <c:v>32.779714496027857</c:v>
                </c:pt>
                <c:pt idx="99">
                  <c:v>32.833184763753202</c:v>
                </c:pt>
                <c:pt idx="100">
                  <c:v>32.885235490956617</c:v>
                </c:pt>
                <c:pt idx="101">
                  <c:v>32.935904405905355</c:v>
                </c:pt>
                <c:pt idx="102">
                  <c:v>32.985228227470728</c:v>
                </c:pt>
                <c:pt idx="103">
                  <c:v>33.033242692786509</c:v>
                </c:pt>
                <c:pt idx="104">
                  <c:v>33.079982584096534</c:v>
                </c:pt>
                <c:pt idx="105">
                  <c:v>33.1254817548188</c:v>
                </c:pt>
                <c:pt idx="106">
                  <c:v>33.169773154852507</c:v>
                </c:pt>
                <c:pt idx="107">
                  <c:v>33.212888855153139</c:v>
                </c:pt>
                <c:pt idx="108">
                  <c:v>33.254860071599857</c:v>
                </c:pt>
                <c:pt idx="109">
                  <c:v>33.295717188178457</c:v>
                </c:pt>
                <c:pt idx="110">
                  <c:v>33.335489779502211</c:v>
                </c:pt>
              </c:numCache>
            </c:numRef>
          </c:yVal>
          <c:smooth val="0"/>
          <c:extLst>
            <c:ext xmlns:c16="http://schemas.microsoft.com/office/drawing/2014/chart" uri="{C3380CC4-5D6E-409C-BE32-E72D297353CC}">
              <c16:uniqueId val="{00000000-0BD0-4199-8696-30463058E40C}"/>
            </c:ext>
          </c:extLst>
        </c:ser>
        <c:dLbls>
          <c:showLegendKey val="0"/>
          <c:showVal val="0"/>
          <c:showCatName val="0"/>
          <c:showSerName val="0"/>
          <c:showPercent val="0"/>
          <c:showBubbleSize val="0"/>
        </c:dLbls>
        <c:axId val="914885888"/>
        <c:axId val="914886872"/>
      </c:scatterChart>
      <c:valAx>
        <c:axId val="914885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6872"/>
        <c:crosses val="autoZero"/>
        <c:crossBetween val="midCat"/>
        <c:majorUnit val="10"/>
      </c:valAx>
      <c:valAx>
        <c:axId val="914886872"/>
        <c:scaling>
          <c:orientation val="minMax"/>
          <c:max val="5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5888"/>
        <c:crosses val="autoZero"/>
        <c:crossBetween val="midCat"/>
        <c:majorUnit val="10"/>
      </c:valAx>
      <c:spPr>
        <a:ln>
          <a:solidFill>
            <a:schemeClr val="tx1"/>
          </a:solidFill>
        </a:ln>
      </c:spPr>
    </c:plotArea>
    <c:plotVisOnly val="1"/>
    <c:dispBlanksAs val="gap"/>
    <c:showDLblsOverMax val="0"/>
  </c:chart>
  <c:spPr>
    <a:ln>
      <a:noFill/>
    </a:ln>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直径</a:t>
            </a:r>
            <a:endParaRPr lang="en-US" altLang="ja-JP"/>
          </a:p>
        </c:rich>
      </c:tx>
      <c:layout>
        <c:manualLayout>
          <c:xMode val="edge"/>
          <c:yMode val="edge"/>
          <c:x val="0.47066666666666668"/>
          <c:y val="0"/>
        </c:manualLayout>
      </c:layout>
      <c:overlay val="0"/>
      <c:spPr>
        <a:noFill/>
        <a:ln>
          <a:noFill/>
        </a:ln>
        <a:effectLst/>
      </c:spPr>
    </c:title>
    <c:autoTitleDeleted val="0"/>
    <c:plotArea>
      <c:layout>
        <c:manualLayout>
          <c:layoutTarget val="inner"/>
          <c:xMode val="edge"/>
          <c:yMode val="edge"/>
          <c:x val="5.465718846999796E-2"/>
          <c:y val="9.1992885015109244E-2"/>
          <c:w val="0.90049254152509284"/>
          <c:h val="0.82443597874814123"/>
        </c:manualLayout>
      </c:layout>
      <c:scatterChart>
        <c:scatterStyle val="lineMarker"/>
        <c:varyColors val="0"/>
        <c:ser>
          <c:idx val="1"/>
          <c:order val="0"/>
          <c:tx>
            <c:v>条件①</c:v>
          </c:tx>
          <c:marker>
            <c:symbol val="none"/>
          </c:marker>
          <c:xVal>
            <c:numRef>
              <c:f>'a（自動）計算用'!$D$121:$D$143</c:f>
              <c:numCache>
                <c:formatCode>General</c:formatCode>
                <c:ptCount val="23"/>
                <c:pt idx="0">
                  <c:v>10</c:v>
                </c:pt>
                <c:pt idx="1">
                  <c:v>15</c:v>
                </c:pt>
                <c:pt idx="2">
                  <c:v>20</c:v>
                </c:pt>
                <c:pt idx="3">
                  <c:v>25</c:v>
                </c:pt>
                <c:pt idx="4">
                  <c:v>30</c:v>
                </c:pt>
                <c:pt idx="5">
                  <c:v>35</c:v>
                </c:pt>
                <c:pt idx="6">
                  <c:v>40</c:v>
                </c:pt>
                <c:pt idx="7">
                  <c:v>45</c:v>
                </c:pt>
                <c:pt idx="8">
                  <c:v>50</c:v>
                </c:pt>
                <c:pt idx="9">
                  <c:v>55</c:v>
                </c:pt>
                <c:pt idx="10">
                  <c:v>60</c:v>
                </c:pt>
                <c:pt idx="11">
                  <c:v>65</c:v>
                </c:pt>
                <c:pt idx="12">
                  <c:v>70</c:v>
                </c:pt>
                <c:pt idx="13">
                  <c:v>75</c:v>
                </c:pt>
                <c:pt idx="14">
                  <c:v>80</c:v>
                </c:pt>
                <c:pt idx="15">
                  <c:v>85</c:v>
                </c:pt>
                <c:pt idx="16">
                  <c:v>90</c:v>
                </c:pt>
                <c:pt idx="17">
                  <c:v>95</c:v>
                </c:pt>
                <c:pt idx="18">
                  <c:v>100</c:v>
                </c:pt>
                <c:pt idx="19">
                  <c:v>105</c:v>
                </c:pt>
                <c:pt idx="20">
                  <c:v>110</c:v>
                </c:pt>
                <c:pt idx="21">
                  <c:v>115</c:v>
                </c:pt>
                <c:pt idx="22">
                  <c:v>120</c:v>
                </c:pt>
              </c:numCache>
            </c:numRef>
          </c:xVal>
          <c:yVal>
            <c:numRef>
              <c:f>'a（自動）計算用'!$I$121:$I$143</c:f>
              <c:numCache>
                <c:formatCode>0.0_ </c:formatCode>
                <c:ptCount val="23"/>
                <c:pt idx="0">
                  <c:v>11.138932082557449</c:v>
                </c:pt>
                <c:pt idx="1">
                  <c:v>14.15072273584609</c:v>
                </c:pt>
                <c:pt idx="2">
                  <c:v>18.373665098837925</c:v>
                </c:pt>
                <c:pt idx="3">
                  <c:v>22.542107957952606</c:v>
                </c:pt>
                <c:pt idx="4">
                  <c:v>24.239799428023662</c:v>
                </c:pt>
                <c:pt idx="5">
                  <c:v>28.461133192967722</c:v>
                </c:pt>
                <c:pt idx="6">
                  <c:v>29.770326614206979</c:v>
                </c:pt>
                <c:pt idx="7">
                  <c:v>30.828433967991618</c:v>
                </c:pt>
                <c:pt idx="8">
                  <c:v>34.965136950983052</c:v>
                </c:pt>
                <c:pt idx="9">
                  <c:v>35.845303961474485</c:v>
                </c:pt>
                <c:pt idx="10">
                  <c:v>36.580822789173901</c:v>
                </c:pt>
                <c:pt idx="11">
                  <c:v>37.19941436109827</c:v>
                </c:pt>
                <c:pt idx="12">
                  <c:v>37.722557127258767</c:v>
                </c:pt>
                <c:pt idx="13">
                  <c:v>38.167084833956942</c:v>
                </c:pt>
                <c:pt idx="14">
                  <c:v>38.546343624815997</c:v>
                </c:pt>
                <c:pt idx="15">
                  <c:v>42.711905271695571</c:v>
                </c:pt>
                <c:pt idx="16">
                  <c:v>43.053219760071975</c:v>
                </c:pt>
                <c:pt idx="17">
                  <c:v>43.34745071641025</c:v>
                </c:pt>
                <c:pt idx="18">
                  <c:v>43.601576528755324</c:v>
                </c:pt>
                <c:pt idx="19">
                  <c:v>43.82142064910196</c:v>
                </c:pt>
                <c:pt idx="20">
                  <c:v>44.011872080202394</c:v>
                </c:pt>
                <c:pt idx="21">
                  <c:v>44.177056988530403</c:v>
                </c:pt>
                <c:pt idx="22">
                  <c:v>44.320473741841305</c:v>
                </c:pt>
              </c:numCache>
            </c:numRef>
          </c:yVal>
          <c:smooth val="0"/>
          <c:extLst>
            <c:ext xmlns:c16="http://schemas.microsoft.com/office/drawing/2014/chart" uri="{C3380CC4-5D6E-409C-BE32-E72D297353CC}">
              <c16:uniqueId val="{00000000-2D47-4F8E-9266-5D8BF109323D}"/>
            </c:ext>
          </c:extLst>
        </c:ser>
        <c:dLbls>
          <c:showLegendKey val="0"/>
          <c:showVal val="0"/>
          <c:showCatName val="0"/>
          <c:showSerName val="0"/>
          <c:showPercent val="0"/>
          <c:showBubbleSize val="0"/>
        </c:dLbls>
        <c:axId val="914885888"/>
        <c:axId val="914886872"/>
      </c:scatterChart>
      <c:valAx>
        <c:axId val="914885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6872"/>
        <c:crosses val="autoZero"/>
        <c:crossBetween val="midCat"/>
        <c:majorUnit val="10"/>
      </c:valAx>
      <c:valAx>
        <c:axId val="914886872"/>
        <c:scaling>
          <c:orientation val="minMax"/>
          <c:max val="7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5888"/>
        <c:crosses val="autoZero"/>
        <c:crossBetween val="midCat"/>
        <c:majorUnit val="10"/>
      </c:valAx>
      <c:spPr>
        <a:ln>
          <a:solidFill>
            <a:schemeClr val="tx1"/>
          </a:solidFill>
        </a:ln>
      </c:spPr>
    </c:plotArea>
    <c:plotVisOnly val="1"/>
    <c:dispBlanksAs val="gap"/>
    <c:showDLblsOverMax val="0"/>
  </c:chart>
  <c:spPr>
    <a:ln>
      <a:noFill/>
    </a:ln>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材積</a:t>
            </a:r>
            <a:endParaRPr lang="en-US" altLang="ja-JP"/>
          </a:p>
        </c:rich>
      </c:tx>
      <c:layout>
        <c:manualLayout>
          <c:xMode val="edge"/>
          <c:yMode val="edge"/>
          <c:x val="0.47066666666666668"/>
          <c:y val="0"/>
        </c:manualLayout>
      </c:layout>
      <c:overlay val="0"/>
      <c:spPr>
        <a:noFill/>
        <a:ln>
          <a:noFill/>
        </a:ln>
        <a:effectLst/>
      </c:spPr>
    </c:title>
    <c:autoTitleDeleted val="0"/>
    <c:plotArea>
      <c:layout>
        <c:manualLayout>
          <c:layoutTarget val="inner"/>
          <c:xMode val="edge"/>
          <c:yMode val="edge"/>
          <c:x val="5.465718846999796E-2"/>
          <c:y val="9.1992885015109244E-2"/>
          <c:w val="0.90049254152509284"/>
          <c:h val="0.82443597874814123"/>
        </c:manualLayout>
      </c:layout>
      <c:scatterChart>
        <c:scatterStyle val="lineMarker"/>
        <c:varyColors val="0"/>
        <c:ser>
          <c:idx val="1"/>
          <c:order val="0"/>
          <c:tx>
            <c:v>条件①</c:v>
          </c:tx>
          <c:marker>
            <c:symbol val="none"/>
          </c:marker>
          <c:xVal>
            <c:numRef>
              <c:f>'a（自動）計算用'!$D$5:$D$115</c:f>
              <c:numCache>
                <c:formatCode>General</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'a（自動）計算用'!$H$5:$H$115</c:f>
              <c:numCache>
                <c:formatCode>0.0_ </c:formatCode>
                <c:ptCount val="111"/>
                <c:pt idx="0">
                  <c:v>102.2800111677394</c:v>
                </c:pt>
                <c:pt idx="1">
                  <c:v>124.22331651364004</c:v>
                </c:pt>
                <c:pt idx="2">
                  <c:v>146.76866090703777</c:v>
                </c:pt>
                <c:pt idx="3">
                  <c:v>170.35142162858887</c:v>
                </c:pt>
                <c:pt idx="4">
                  <c:v>194.70162037952747</c:v>
                </c:pt>
                <c:pt idx="5">
                  <c:v>219.66196464449416</c:v>
                </c:pt>
                <c:pt idx="6">
                  <c:v>245.09492476727775</c:v>
                </c:pt>
                <c:pt idx="7">
                  <c:v>270.88036921106317</c:v>
                </c:pt>
                <c:pt idx="8">
                  <c:v>296.91335942972614</c:v>
                </c:pt>
                <c:pt idx="9">
                  <c:v>276.81653041320635</c:v>
                </c:pt>
                <c:pt idx="10">
                  <c:v>301.82981555955007</c:v>
                </c:pt>
                <c:pt idx="11">
                  <c:v>327.06299130318308</c:v>
                </c:pt>
                <c:pt idx="12">
                  <c:v>352.43973137050881</c:v>
                </c:pt>
                <c:pt idx="13">
                  <c:v>377.89129155446136</c:v>
                </c:pt>
                <c:pt idx="14">
                  <c:v>403.35587238814719</c:v>
                </c:pt>
                <c:pt idx="15">
                  <c:v>367.6659335211275</c:v>
                </c:pt>
                <c:pt idx="16">
                  <c:v>390.70071763183762</c:v>
                </c:pt>
                <c:pt idx="17">
                  <c:v>413.69120120572887</c:v>
                </c:pt>
                <c:pt idx="18">
                  <c:v>436.59534263957698</c:v>
                </c:pt>
                <c:pt idx="19">
                  <c:v>459.37531823393408</c:v>
                </c:pt>
                <c:pt idx="20">
                  <c:v>481.99722450965783</c:v>
                </c:pt>
                <c:pt idx="21">
                  <c:v>504.43079637349933</c:v>
                </c:pt>
                <c:pt idx="22">
                  <c:v>526.64914064941865</c:v>
                </c:pt>
                <c:pt idx="23">
                  <c:v>548.62848431566863</c:v>
                </c:pt>
                <c:pt idx="24">
                  <c:v>489.18412756758204</c:v>
                </c:pt>
                <c:pt idx="25">
                  <c:v>508.65706167433763</c:v>
                </c:pt>
                <c:pt idx="26">
                  <c:v>527.90598854521966</c:v>
                </c:pt>
                <c:pt idx="27">
                  <c:v>546.9152111539986</c:v>
                </c:pt>
                <c:pt idx="28">
                  <c:v>565.67105933931236</c:v>
                </c:pt>
                <c:pt idx="29">
                  <c:v>584.16173400716696</c:v>
                </c:pt>
                <c:pt idx="30">
                  <c:v>602.37715849247434</c:v>
                </c:pt>
                <c:pt idx="31">
                  <c:v>620.30883729133245</c:v>
                </c:pt>
                <c:pt idx="32">
                  <c:v>637.94972230689098</c:v>
                </c:pt>
                <c:pt idx="33">
                  <c:v>655.29408668297219</c:v>
                </c:pt>
                <c:pt idx="34">
                  <c:v>672.33740623230506</c:v>
                </c:pt>
                <c:pt idx="35">
                  <c:v>689.07624840194057</c:v>
                </c:pt>
                <c:pt idx="36">
                  <c:v>705.50816865861123</c:v>
                </c:pt>
                <c:pt idx="37">
                  <c:v>721.63161412283648</c:v>
                </c:pt>
                <c:pt idx="38">
                  <c:v>737.44583423342112</c:v>
                </c:pt>
                <c:pt idx="39">
                  <c:v>650.57149919226401</c:v>
                </c:pt>
                <c:pt idx="40">
                  <c:v>664.42136386514278</c:v>
                </c:pt>
                <c:pt idx="41">
                  <c:v>678.00663425350751</c:v>
                </c:pt>
                <c:pt idx="42">
                  <c:v>691.32759919822149</c:v>
                </c:pt>
                <c:pt idx="43">
                  <c:v>704.38503311331465</c:v>
                </c:pt>
                <c:pt idx="44">
                  <c:v>717.18014423502291</c:v>
                </c:pt>
                <c:pt idx="45">
                  <c:v>729.71452716636975</c:v>
                </c:pt>
                <c:pt idx="46">
                  <c:v>741.99011945252948</c:v>
                </c:pt>
                <c:pt idx="47">
                  <c:v>754.00916192158274</c:v>
                </c:pt>
                <c:pt idx="48">
                  <c:v>765.77416252861701</c:v>
                </c:pt>
                <c:pt idx="49">
                  <c:v>777.28786344757305</c:v>
                </c:pt>
                <c:pt idx="50">
                  <c:v>788.55321116412358</c:v>
                </c:pt>
                <c:pt idx="51">
                  <c:v>799.57332933358043</c:v>
                </c:pt>
                <c:pt idx="52">
                  <c:v>810.35149417979665</c:v>
                </c:pt>
                <c:pt idx="53">
                  <c:v>820.89111222383553</c:v>
                </c:pt>
                <c:pt idx="54">
                  <c:v>831.19570014437591</c:v>
                </c:pt>
                <c:pt idx="55">
                  <c:v>841.26886658523256</c:v>
                </c:pt>
                <c:pt idx="56">
                  <c:v>851.1142957385191</c:v>
                </c:pt>
                <c:pt idx="57">
                  <c:v>860.73573254497035</c:v>
                </c:pt>
                <c:pt idx="58">
                  <c:v>870.13696936532108</c:v>
                </c:pt>
                <c:pt idx="59">
                  <c:v>879.32183398856603</c:v>
                </c:pt>
                <c:pt idx="60">
                  <c:v>888.29417885413932</c:v>
                </c:pt>
                <c:pt idx="61">
                  <c:v>897.05787137563289</c:v>
                </c:pt>
                <c:pt idx="62">
                  <c:v>905.61678526350647</c:v>
                </c:pt>
                <c:pt idx="63">
                  <c:v>913.97479275343824</c:v>
                </c:pt>
                <c:pt idx="64">
                  <c:v>922.13575765539815</c:v>
                </c:pt>
                <c:pt idx="65">
                  <c:v>930.10352914632563</c:v>
                </c:pt>
                <c:pt idx="66">
                  <c:v>937.88193623645282</c:v>
                </c:pt>
                <c:pt idx="67">
                  <c:v>945.47478284583337</c:v>
                </c:pt>
                <c:pt idx="68">
                  <c:v>952.88584343362413</c:v>
                </c:pt>
                <c:pt idx="69">
                  <c:v>960.11885912805951</c:v>
                </c:pt>
                <c:pt idx="70">
                  <c:v>967.17753431004644</c:v>
                </c:pt>
                <c:pt idx="71">
                  <c:v>974.06553360770101</c:v>
                </c:pt>
                <c:pt idx="72">
                  <c:v>980.786479263263</c:v>
                </c:pt>
                <c:pt idx="73">
                  <c:v>987.34394883746518</c:v>
                </c:pt>
                <c:pt idx="74">
                  <c:v>993.7414732197235</c:v>
                </c:pt>
                <c:pt idx="75">
                  <c:v>865.24334382579036</c:v>
                </c:pt>
                <c:pt idx="76">
                  <c:v>870.79327227381793</c:v>
                </c:pt>
                <c:pt idx="77">
                  <c:v>876.20865902420496</c:v>
                </c:pt>
                <c:pt idx="78">
                  <c:v>881.49239044306228</c:v>
                </c:pt>
                <c:pt idx="79">
                  <c:v>886.64731378064914</c:v>
                </c:pt>
                <c:pt idx="80">
                  <c:v>891.6762360462576</c:v>
                </c:pt>
                <c:pt idx="81">
                  <c:v>896.58192305055434</c:v>
                </c:pt>
                <c:pt idx="82">
                  <c:v>901.36709860084773</c:v>
                </c:pt>
                <c:pt idx="83">
                  <c:v>906.03444383600959</c:v>
                </c:pt>
                <c:pt idx="84">
                  <c:v>910.58659668887208</c:v>
                </c:pt>
                <c:pt idx="85">
                  <c:v>915.02615146500659</c:v>
                </c:pt>
                <c:pt idx="86">
                  <c:v>919.35565852765865</c:v>
                </c:pt>
                <c:pt idx="87">
                  <c:v>923.57762407951543</c:v>
                </c:pt>
                <c:pt idx="88">
                  <c:v>927.69451003272741</c:v>
                </c:pt>
                <c:pt idx="89">
                  <c:v>931.70873395930425</c:v>
                </c:pt>
                <c:pt idx="90">
                  <c:v>935.62266911468214</c:v>
                </c:pt>
                <c:pt idx="91">
                  <c:v>939.43864452779019</c:v>
                </c:pt>
                <c:pt idx="92">
                  <c:v>943.1589451515307</c:v>
                </c:pt>
                <c:pt idx="93">
                  <c:v>946.78581206804131</c:v>
                </c:pt>
                <c:pt idx="94">
                  <c:v>950.3214427435679</c:v>
                </c:pt>
                <c:pt idx="95">
                  <c:v>953.76799132818962</c:v>
                </c:pt>
                <c:pt idx="96">
                  <c:v>957.12756899598719</c:v>
                </c:pt>
                <c:pt idx="97">
                  <c:v>960.40224432164712</c:v>
                </c:pt>
                <c:pt idx="98">
                  <c:v>963.59404368972287</c:v>
                </c:pt>
                <c:pt idx="99">
                  <c:v>966.70495173315635</c:v>
                </c:pt>
                <c:pt idx="100">
                  <c:v>969.73691179786033</c:v>
                </c:pt>
                <c:pt idx="101">
                  <c:v>972.69182643045235</c:v>
                </c:pt>
                <c:pt idx="102">
                  <c:v>975.5715578864249</c:v>
                </c:pt>
                <c:pt idx="103">
                  <c:v>978.37792865626704</c:v>
                </c:pt>
                <c:pt idx="104">
                  <c:v>981.11272200725409</c:v>
                </c:pt>
                <c:pt idx="105">
                  <c:v>983.77768253875183</c:v>
                </c:pt>
                <c:pt idx="106">
                  <c:v>986.37451674911506</c:v>
                </c:pt>
                <c:pt idx="107">
                  <c:v>988.90489361235393</c:v>
                </c:pt>
                <c:pt idx="108">
                  <c:v>991.37044516291189</c:v>
                </c:pt>
                <c:pt idx="109">
                  <c:v>993.77276708703721</c:v>
                </c:pt>
                <c:pt idx="110">
                  <c:v>996.11341931930667</c:v>
                </c:pt>
              </c:numCache>
            </c:numRef>
          </c:yVal>
          <c:smooth val="0"/>
          <c:extLst>
            <c:ext xmlns:c16="http://schemas.microsoft.com/office/drawing/2014/chart" uri="{C3380CC4-5D6E-409C-BE32-E72D297353CC}">
              <c16:uniqueId val="{00000000-C36D-4FFA-8BDE-1364ED324630}"/>
            </c:ext>
          </c:extLst>
        </c:ser>
        <c:dLbls>
          <c:showLegendKey val="0"/>
          <c:showVal val="0"/>
          <c:showCatName val="0"/>
          <c:showSerName val="0"/>
          <c:showPercent val="0"/>
          <c:showBubbleSize val="0"/>
        </c:dLbls>
        <c:axId val="914885888"/>
        <c:axId val="914886872"/>
      </c:scatterChart>
      <c:valAx>
        <c:axId val="914885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6872"/>
        <c:crosses val="autoZero"/>
        <c:crossBetween val="midCat"/>
        <c:majorUnit val="10"/>
      </c:valAx>
      <c:valAx>
        <c:axId val="914886872"/>
        <c:scaling>
          <c:orientation val="minMax"/>
          <c:max val="15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5888"/>
        <c:crosses val="autoZero"/>
        <c:crossBetween val="midCat"/>
        <c:majorUnit val="100"/>
      </c:valAx>
      <c:spPr>
        <a:ln>
          <a:solidFill>
            <a:schemeClr val="tx1"/>
          </a:solidFill>
        </a:ln>
      </c:spPr>
    </c:plotArea>
    <c:plotVisOnly val="1"/>
    <c:dispBlanksAs val="gap"/>
    <c:showDLblsOverMax val="0"/>
  </c:chart>
  <c:spPr>
    <a:ln>
      <a:noFill/>
    </a:ln>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密度</a:t>
            </a:r>
            <a:endParaRPr lang="en-US" altLang="ja-JP"/>
          </a:p>
        </c:rich>
      </c:tx>
      <c:layout>
        <c:manualLayout>
          <c:xMode val="edge"/>
          <c:yMode val="edge"/>
          <c:x val="0.47066666666666668"/>
          <c:y val="0"/>
        </c:manualLayout>
      </c:layout>
      <c:overlay val="0"/>
      <c:spPr>
        <a:noFill/>
        <a:ln>
          <a:noFill/>
        </a:ln>
        <a:effectLst/>
      </c:spPr>
    </c:title>
    <c:autoTitleDeleted val="0"/>
    <c:plotArea>
      <c:layout>
        <c:manualLayout>
          <c:layoutTarget val="inner"/>
          <c:xMode val="edge"/>
          <c:yMode val="edge"/>
          <c:x val="5.465718846999796E-2"/>
          <c:y val="9.1992885015109244E-2"/>
          <c:w val="0.90049254152509284"/>
          <c:h val="0.82443597874814123"/>
        </c:manualLayout>
      </c:layout>
      <c:scatterChart>
        <c:scatterStyle val="lineMarker"/>
        <c:varyColors val="0"/>
        <c:ser>
          <c:idx val="1"/>
          <c:order val="0"/>
          <c:marker>
            <c:symbol val="none"/>
          </c:marker>
          <c:xVal>
            <c:numRef>
              <c:f>'a（自動）計算用'!$D$5:$D$115</c:f>
              <c:numCache>
                <c:formatCode>General</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'a（自動）計算用'!$F$5:$F$115</c:f>
              <c:numCache>
                <c:formatCode>0_ </c:formatCode>
                <c:ptCount val="111"/>
                <c:pt idx="0">
                  <c:v>2400</c:v>
                </c:pt>
                <c:pt idx="1">
                  <c:v>2400</c:v>
                </c:pt>
                <c:pt idx="2">
                  <c:v>2378.6995149385252</c:v>
                </c:pt>
                <c:pt idx="3">
                  <c:v>2359.9216915640836</c:v>
                </c:pt>
                <c:pt idx="4">
                  <c:v>2340.7662406907311</c:v>
                </c:pt>
                <c:pt idx="5">
                  <c:v>2321.3807070057342</c:v>
                </c:pt>
                <c:pt idx="6">
                  <c:v>2301.8907004546645</c:v>
                </c:pt>
                <c:pt idx="7">
                  <c:v>2282.402289098367</c:v>
                </c:pt>
                <c:pt idx="8">
                  <c:v>2263.0043655536742</c:v>
                </c:pt>
                <c:pt idx="9">
                  <c:v>1603.0043655536742</c:v>
                </c:pt>
                <c:pt idx="10">
                  <c:v>1603.0043655536742</c:v>
                </c:pt>
                <c:pt idx="11">
                  <c:v>1603.0043655536742</c:v>
                </c:pt>
                <c:pt idx="12">
                  <c:v>1603.0043655536742</c:v>
                </c:pt>
                <c:pt idx="13">
                  <c:v>1603.0043655536742</c:v>
                </c:pt>
                <c:pt idx="14">
                  <c:v>1603.0043655536742</c:v>
                </c:pt>
                <c:pt idx="15">
                  <c:v>1153.0043655536742</c:v>
                </c:pt>
                <c:pt idx="16">
                  <c:v>1153.0043655536742</c:v>
                </c:pt>
                <c:pt idx="17">
                  <c:v>1153.0043655536742</c:v>
                </c:pt>
                <c:pt idx="18">
                  <c:v>1153.0043655536742</c:v>
                </c:pt>
                <c:pt idx="19">
                  <c:v>1153.0043655536742</c:v>
                </c:pt>
                <c:pt idx="20">
                  <c:v>1153.0043655536742</c:v>
                </c:pt>
                <c:pt idx="21">
                  <c:v>1153.0043655536742</c:v>
                </c:pt>
                <c:pt idx="22">
                  <c:v>1153.0043655536742</c:v>
                </c:pt>
                <c:pt idx="23">
                  <c:v>1153.0043655536742</c:v>
                </c:pt>
                <c:pt idx="24">
                  <c:v>833.00436555367423</c:v>
                </c:pt>
                <c:pt idx="25">
                  <c:v>833.00436555367423</c:v>
                </c:pt>
                <c:pt idx="26">
                  <c:v>833.00436555367423</c:v>
                </c:pt>
                <c:pt idx="27">
                  <c:v>833.00436555367423</c:v>
                </c:pt>
                <c:pt idx="28">
                  <c:v>833.00436555367423</c:v>
                </c:pt>
                <c:pt idx="29">
                  <c:v>833.00436555367423</c:v>
                </c:pt>
                <c:pt idx="30">
                  <c:v>833.00436555367423</c:v>
                </c:pt>
                <c:pt idx="31">
                  <c:v>833.00436555367423</c:v>
                </c:pt>
                <c:pt idx="32">
                  <c:v>833.00436555367423</c:v>
                </c:pt>
                <c:pt idx="33">
                  <c:v>833.00436555367423</c:v>
                </c:pt>
                <c:pt idx="34">
                  <c:v>833.00436555367423</c:v>
                </c:pt>
                <c:pt idx="35">
                  <c:v>833.00436555367423</c:v>
                </c:pt>
                <c:pt idx="36">
                  <c:v>833.00436555367423</c:v>
                </c:pt>
                <c:pt idx="37">
                  <c:v>833.00436555367423</c:v>
                </c:pt>
                <c:pt idx="38">
                  <c:v>833.00436555367423</c:v>
                </c:pt>
                <c:pt idx="39">
                  <c:v>613.00436555367423</c:v>
                </c:pt>
                <c:pt idx="40">
                  <c:v>613.00436555367423</c:v>
                </c:pt>
                <c:pt idx="41">
                  <c:v>613.00436555367423</c:v>
                </c:pt>
                <c:pt idx="42">
                  <c:v>613.00436555367423</c:v>
                </c:pt>
                <c:pt idx="43">
                  <c:v>613.00436555367423</c:v>
                </c:pt>
                <c:pt idx="44">
                  <c:v>613.00436555367423</c:v>
                </c:pt>
                <c:pt idx="45">
                  <c:v>613.00436555367423</c:v>
                </c:pt>
                <c:pt idx="46">
                  <c:v>613.00436555367423</c:v>
                </c:pt>
                <c:pt idx="47">
                  <c:v>613.00436555367423</c:v>
                </c:pt>
                <c:pt idx="48">
                  <c:v>613.00436555367423</c:v>
                </c:pt>
                <c:pt idx="49">
                  <c:v>613.00436555367423</c:v>
                </c:pt>
                <c:pt idx="50">
                  <c:v>613.00436555367423</c:v>
                </c:pt>
                <c:pt idx="51">
                  <c:v>613.00436555367423</c:v>
                </c:pt>
                <c:pt idx="52">
                  <c:v>613.00436555367423</c:v>
                </c:pt>
                <c:pt idx="53">
                  <c:v>613.00436555367423</c:v>
                </c:pt>
                <c:pt idx="54">
                  <c:v>613.00436555367423</c:v>
                </c:pt>
                <c:pt idx="55">
                  <c:v>613.00436555367423</c:v>
                </c:pt>
                <c:pt idx="56">
                  <c:v>613.00436555367423</c:v>
                </c:pt>
                <c:pt idx="57">
                  <c:v>613.00436555367423</c:v>
                </c:pt>
                <c:pt idx="58">
                  <c:v>613.00436555367423</c:v>
                </c:pt>
                <c:pt idx="59">
                  <c:v>613.00436555367423</c:v>
                </c:pt>
                <c:pt idx="60">
                  <c:v>613.00436555367423</c:v>
                </c:pt>
                <c:pt idx="61">
                  <c:v>613.00436555367423</c:v>
                </c:pt>
                <c:pt idx="62">
                  <c:v>613.00436555367423</c:v>
                </c:pt>
                <c:pt idx="63">
                  <c:v>613.00436555367423</c:v>
                </c:pt>
                <c:pt idx="64">
                  <c:v>613.00436555367423</c:v>
                </c:pt>
                <c:pt idx="65">
                  <c:v>613.00436555367423</c:v>
                </c:pt>
                <c:pt idx="66">
                  <c:v>613.00436555367423</c:v>
                </c:pt>
                <c:pt idx="67">
                  <c:v>613.00436555367423</c:v>
                </c:pt>
                <c:pt idx="68">
                  <c:v>613.00436555367423</c:v>
                </c:pt>
                <c:pt idx="69">
                  <c:v>613.00436555367423</c:v>
                </c:pt>
                <c:pt idx="70">
                  <c:v>613.00436555367423</c:v>
                </c:pt>
                <c:pt idx="71">
                  <c:v>613.00436555367423</c:v>
                </c:pt>
                <c:pt idx="72">
                  <c:v>613.00436555367423</c:v>
                </c:pt>
                <c:pt idx="73">
                  <c:v>613.00436555367423</c:v>
                </c:pt>
                <c:pt idx="74">
                  <c:v>613.00436555367423</c:v>
                </c:pt>
                <c:pt idx="75">
                  <c:v>453.00436555367423</c:v>
                </c:pt>
                <c:pt idx="76">
                  <c:v>453.00436555367423</c:v>
                </c:pt>
                <c:pt idx="77">
                  <c:v>453.00436555367423</c:v>
                </c:pt>
                <c:pt idx="78">
                  <c:v>453.00436555367423</c:v>
                </c:pt>
                <c:pt idx="79">
                  <c:v>453.00436555367423</c:v>
                </c:pt>
                <c:pt idx="80">
                  <c:v>453.00436555367423</c:v>
                </c:pt>
                <c:pt idx="81">
                  <c:v>453.00436555367423</c:v>
                </c:pt>
                <c:pt idx="82">
                  <c:v>453.00436555367423</c:v>
                </c:pt>
                <c:pt idx="83">
                  <c:v>453.00436555367423</c:v>
                </c:pt>
                <c:pt idx="84">
                  <c:v>453.00436555367423</c:v>
                </c:pt>
                <c:pt idx="85">
                  <c:v>453.00436555367423</c:v>
                </c:pt>
                <c:pt idx="86">
                  <c:v>453.00436555367423</c:v>
                </c:pt>
                <c:pt idx="87">
                  <c:v>453.00436555367423</c:v>
                </c:pt>
                <c:pt idx="88">
                  <c:v>453.00436555367423</c:v>
                </c:pt>
                <c:pt idx="89">
                  <c:v>453.00436555367423</c:v>
                </c:pt>
                <c:pt idx="90">
                  <c:v>453.00436555367423</c:v>
                </c:pt>
                <c:pt idx="91">
                  <c:v>453.00436555367423</c:v>
                </c:pt>
                <c:pt idx="92">
                  <c:v>453.00436555367423</c:v>
                </c:pt>
                <c:pt idx="93">
                  <c:v>453.00436555367423</c:v>
                </c:pt>
                <c:pt idx="94">
                  <c:v>453.00436555367423</c:v>
                </c:pt>
                <c:pt idx="95">
                  <c:v>453.00436555367423</c:v>
                </c:pt>
                <c:pt idx="96">
                  <c:v>453.00436555367423</c:v>
                </c:pt>
                <c:pt idx="97">
                  <c:v>453.00436555367423</c:v>
                </c:pt>
                <c:pt idx="98">
                  <c:v>453.00436555367423</c:v>
                </c:pt>
                <c:pt idx="99">
                  <c:v>453.00436555367423</c:v>
                </c:pt>
                <c:pt idx="100">
                  <c:v>453.00436555367423</c:v>
                </c:pt>
                <c:pt idx="101">
                  <c:v>453.00436555367423</c:v>
                </c:pt>
                <c:pt idx="102">
                  <c:v>453.00436555367423</c:v>
                </c:pt>
                <c:pt idx="103">
                  <c:v>453.00436555367423</c:v>
                </c:pt>
                <c:pt idx="104">
                  <c:v>453.00436555367423</c:v>
                </c:pt>
                <c:pt idx="105">
                  <c:v>453.00436555367423</c:v>
                </c:pt>
                <c:pt idx="106">
                  <c:v>453.00436555367423</c:v>
                </c:pt>
                <c:pt idx="107">
                  <c:v>453.00436555367423</c:v>
                </c:pt>
                <c:pt idx="108">
                  <c:v>453.00436555367423</c:v>
                </c:pt>
                <c:pt idx="109">
                  <c:v>453.00436555367423</c:v>
                </c:pt>
                <c:pt idx="110">
                  <c:v>453.00436555367423</c:v>
                </c:pt>
              </c:numCache>
            </c:numRef>
          </c:yVal>
          <c:smooth val="0"/>
          <c:extLst>
            <c:ext xmlns:c16="http://schemas.microsoft.com/office/drawing/2014/chart" uri="{C3380CC4-5D6E-409C-BE32-E72D297353CC}">
              <c16:uniqueId val="{00000000-50F1-425B-9EB4-440EBAC173B0}"/>
            </c:ext>
          </c:extLst>
        </c:ser>
        <c:dLbls>
          <c:showLegendKey val="0"/>
          <c:showVal val="0"/>
          <c:showCatName val="0"/>
          <c:showSerName val="0"/>
          <c:showPercent val="0"/>
          <c:showBubbleSize val="0"/>
        </c:dLbls>
        <c:axId val="914885888"/>
        <c:axId val="914886872"/>
      </c:scatterChart>
      <c:valAx>
        <c:axId val="914885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6872"/>
        <c:crosses val="autoZero"/>
        <c:crossBetween val="midCat"/>
        <c:majorUnit val="10"/>
      </c:valAx>
      <c:valAx>
        <c:axId val="914886872"/>
        <c:scaling>
          <c:orientation val="minMax"/>
          <c:max val="40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5888"/>
        <c:crosses val="autoZero"/>
        <c:crossBetween val="midCat"/>
        <c:majorUnit val="200"/>
      </c:valAx>
      <c:spPr>
        <a:ln>
          <a:solidFill>
            <a:schemeClr val="tx1"/>
          </a:solidFill>
        </a:ln>
      </c:spPr>
    </c:plotArea>
    <c:plotVisOnly val="1"/>
    <c:dispBlanksAs val="gap"/>
    <c:showDLblsOverMax val="0"/>
  </c:chart>
  <c:spPr>
    <a:ln>
      <a:noFill/>
    </a:ln>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Ry</a:t>
            </a:r>
          </a:p>
        </c:rich>
      </c:tx>
      <c:layout>
        <c:manualLayout>
          <c:xMode val="edge"/>
          <c:yMode val="edge"/>
          <c:x val="0.47066666666666668"/>
          <c:y val="0"/>
        </c:manualLayout>
      </c:layout>
      <c:overlay val="0"/>
      <c:spPr>
        <a:noFill/>
        <a:ln>
          <a:noFill/>
        </a:ln>
        <a:effectLst/>
      </c:spPr>
    </c:title>
    <c:autoTitleDeleted val="0"/>
    <c:plotArea>
      <c:layout>
        <c:manualLayout>
          <c:layoutTarget val="inner"/>
          <c:xMode val="edge"/>
          <c:yMode val="edge"/>
          <c:x val="5.465718846999796E-2"/>
          <c:y val="9.1992885015109244E-2"/>
          <c:w val="0.90049254152509284"/>
          <c:h val="0.82443597874814123"/>
        </c:manualLayout>
      </c:layout>
      <c:scatterChart>
        <c:scatterStyle val="lineMarker"/>
        <c:varyColors val="0"/>
        <c:ser>
          <c:idx val="1"/>
          <c:order val="0"/>
          <c:tx>
            <c:v>条件①</c:v>
          </c:tx>
          <c:marker>
            <c:symbol val="none"/>
          </c:marker>
          <c:xVal>
            <c:numRef>
              <c:f>'a（自動）計算用'!$D$5:$D$115</c:f>
              <c:numCache>
                <c:formatCode>General</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'a（自動）計算用'!$V$5:$V$115</c:f>
              <c:numCache>
                <c:formatCode>0.00_ </c:formatCode>
                <c:ptCount val="111"/>
                <c:pt idx="0">
                  <c:v>0.53912917556448103</c:v>
                </c:pt>
                <c:pt idx="1">
                  <c:v>0.57999766699305544</c:v>
                </c:pt>
                <c:pt idx="2">
                  <c:v>0.61440882489371806</c:v>
                </c:pt>
                <c:pt idx="3">
                  <c:v>0.64593872659071028</c:v>
                </c:pt>
                <c:pt idx="4">
                  <c:v>0.67451407995314949</c:v>
                </c:pt>
                <c:pt idx="5">
                  <c:v>0.70045488300666847</c:v>
                </c:pt>
                <c:pt idx="6">
                  <c:v>0.72404923070116278</c:v>
                </c:pt>
                <c:pt idx="7">
                  <c:v>0.74555378117272408</c:v>
                </c:pt>
                <c:pt idx="8">
                  <c:v>0.64972403633225939</c:v>
                </c:pt>
                <c:pt idx="9">
                  <c:v>0.67098239774208335</c:v>
                </c:pt>
                <c:pt idx="10">
                  <c:v>0.69086147246528273</c:v>
                </c:pt>
                <c:pt idx="11">
                  <c:v>0.70946600985806274</c:v>
                </c:pt>
                <c:pt idx="12">
                  <c:v>0.72689289741645191</c:v>
                </c:pt>
                <c:pt idx="13">
                  <c:v>0.74323142698437206</c:v>
                </c:pt>
                <c:pt idx="14">
                  <c:v>0.64812840840829267</c:v>
                </c:pt>
                <c:pt idx="15">
                  <c:v>0.66279727394700227</c:v>
                </c:pt>
                <c:pt idx="16">
                  <c:v>0.67668440657090057</c:v>
                </c:pt>
                <c:pt idx="17">
                  <c:v>0.68983846963764806</c:v>
                </c:pt>
                <c:pt idx="18">
                  <c:v>0.70230500203125479</c:v>
                </c:pt>
                <c:pt idx="19">
                  <c:v>0.71412656214812165</c:v>
                </c:pt>
                <c:pt idx="20">
                  <c:v>0.72534288605949482</c:v>
                </c:pt>
                <c:pt idx="21">
                  <c:v>0.73599105178174107</c:v>
                </c:pt>
                <c:pt idx="22">
                  <c:v>0.74610564407515667</c:v>
                </c:pt>
                <c:pt idx="23">
                  <c:v>0.64672884258404628</c:v>
                </c:pt>
                <c:pt idx="24">
                  <c:v>0.65601680991984401</c:v>
                </c:pt>
                <c:pt idx="25">
                  <c:v>0.66489317764128286</c:v>
                </c:pt>
                <c:pt idx="26">
                  <c:v>0.67337926932328995</c:v>
                </c:pt>
                <c:pt idx="27">
                  <c:v>0.68149524309255083</c:v>
                </c:pt>
                <c:pt idx="28">
                  <c:v>0.68926014634380539</c:v>
                </c:pt>
                <c:pt idx="29">
                  <c:v>0.69669197019456963</c:v>
                </c:pt>
                <c:pt idx="30">
                  <c:v>0.7038077030763662</c:v>
                </c:pt>
                <c:pt idx="31">
                  <c:v>0.71062338303679007</c:v>
                </c:pt>
                <c:pt idx="32">
                  <c:v>0.71715414845786385</c:v>
                </c:pt>
                <c:pt idx="33">
                  <c:v>0.723414286993314</c:v>
                </c:pt>
                <c:pt idx="34">
                  <c:v>0.72941728259923755</c:v>
                </c:pt>
                <c:pt idx="35">
                  <c:v>0.73517586058567297</c:v>
                </c:pt>
                <c:pt idx="36">
                  <c:v>0.74070203065569584</c:v>
                </c:pt>
                <c:pt idx="37">
                  <c:v>0.74600712792753343</c:v>
                </c:pt>
                <c:pt idx="38">
                  <c:v>0.64824320577467209</c:v>
                </c:pt>
                <c:pt idx="39">
                  <c:v>0.65320290505853573</c:v>
                </c:pt>
                <c:pt idx="40">
                  <c:v>0.65797987535215408</c:v>
                </c:pt>
                <c:pt idx="41">
                  <c:v>0.66258206748535997</c:v>
                </c:pt>
                <c:pt idx="42">
                  <c:v>0.66701704022011521</c:v>
                </c:pt>
                <c:pt idx="43">
                  <c:v>0.67129197945099583</c:v>
                </c:pt>
                <c:pt idx="44">
                  <c:v>0.67541371676842243</c:v>
                </c:pt>
                <c:pt idx="45">
                  <c:v>0.67938874735086574</c:v>
                </c:pt>
                <c:pt idx="46">
                  <c:v>0.68322324716305838</c:v>
                </c:pt>
                <c:pt idx="47">
                  <c:v>0.68692308944650393</c:v>
                </c:pt>
                <c:pt idx="48">
                  <c:v>0.69049386049651496</c:v>
                </c:pt>
                <c:pt idx="49">
                  <c:v>0.69394087472672206</c:v>
                </c:pt>
                <c:pt idx="50">
                  <c:v>0.69726918902764656</c:v>
                </c:pt>
                <c:pt idx="51">
                  <c:v>0.70048361643059642</c:v>
                </c:pt>
                <c:pt idx="52">
                  <c:v>0.7035887390919684</c:v>
                </c:pt>
                <c:pt idx="53">
                  <c:v>0.70658892061609324</c:v>
                </c:pt>
                <c:pt idx="54">
                  <c:v>0.70948831773714205</c:v>
                </c:pt>
                <c:pt idx="55">
                  <c:v>0.7122908913824274</c:v>
                </c:pt>
                <c:pt idx="56">
                  <c:v>0.71500041714071005</c:v>
                </c:pt>
                <c:pt idx="57">
                  <c:v>0.71762049515999071</c:v>
                </c:pt>
                <c:pt idx="58">
                  <c:v>0.72015455949974994</c:v>
                </c:pt>
                <c:pt idx="59">
                  <c:v>0.72260588696276662</c:v>
                </c:pt>
                <c:pt idx="60">
                  <c:v>0.72497760543156542</c:v>
                </c:pt>
                <c:pt idx="61">
                  <c:v>0.72727270173423064</c:v>
                </c:pt>
                <c:pt idx="62">
                  <c:v>0.72949402906385252</c:v>
                </c:pt>
                <c:pt idx="63">
                  <c:v>0.73164431397525254</c:v>
                </c:pt>
                <c:pt idx="64">
                  <c:v>0.73372616298191784</c:v>
                </c:pt>
                <c:pt idx="65">
                  <c:v>0.73574206877526271</c:v>
                </c:pt>
                <c:pt idx="66">
                  <c:v>0.73769441608748665</c:v>
                </c:pt>
                <c:pt idx="67">
                  <c:v>0.73958548721838546</c:v>
                </c:pt>
                <c:pt idx="68">
                  <c:v>0.74141746724557056</c:v>
                </c:pt>
                <c:pt idx="69">
                  <c:v>0.74319244893660497</c:v>
                </c:pt>
                <c:pt idx="70">
                  <c:v>0.74491243738065582</c:v>
                </c:pt>
                <c:pt idx="71">
                  <c:v>0.74657935435632816</c:v>
                </c:pt>
                <c:pt idx="72">
                  <c:v>0.74819504245147095</c:v>
                </c:pt>
                <c:pt idx="73">
                  <c:v>0.7497612689498635</c:v>
                </c:pt>
                <c:pt idx="74">
                  <c:v>0.64983396450404562</c:v>
                </c:pt>
                <c:pt idx="75">
                  <c:v>0.65132507762060143</c:v>
                </c:pt>
                <c:pt idx="76">
                  <c:v>0.6527719980717217</c:v>
                </c:pt>
                <c:pt idx="77">
                  <c:v>0.65417616126695755</c:v>
                </c:pt>
                <c:pt idx="78">
                  <c:v>0.65553894911890875</c:v>
                </c:pt>
                <c:pt idx="79">
                  <c:v>0.65686169239313574</c:v>
                </c:pt>
                <c:pt idx="80">
                  <c:v>0.65814567293860682</c:v>
                </c:pt>
                <c:pt idx="81">
                  <c:v>0.65939212580528206</c:v>
                </c:pt>
                <c:pt idx="82">
                  <c:v>0.66060224125507372</c:v>
                </c:pt>
                <c:pt idx="83">
                  <c:v>0.66177716667209197</c:v>
                </c:pt>
                <c:pt idx="84">
                  <c:v>0.66291800837774995</c:v>
                </c:pt>
                <c:pt idx="85">
                  <c:v>0.66402583335599641</c:v>
                </c:pt>
                <c:pt idx="86">
                  <c:v>0.66510167089363792</c:v>
                </c:pt>
                <c:pt idx="87">
                  <c:v>0.66614651414044157</c:v>
                </c:pt>
                <c:pt idx="88">
                  <c:v>0.66716132159342634</c:v>
                </c:pt>
                <c:pt idx="89">
                  <c:v>0.66814701850950931</c:v>
                </c:pt>
                <c:pt idx="90">
                  <c:v>0.66910449825042284</c:v>
                </c:pt>
                <c:pt idx="91">
                  <c:v>0.67003462356359378</c:v>
                </c:pt>
                <c:pt idx="92">
                  <c:v>0.67093822780246259</c:v>
                </c:pt>
                <c:pt idx="93">
                  <c:v>0.67181611608951464</c:v>
                </c:pt>
                <c:pt idx="94">
                  <c:v>0.67266906642510582</c:v>
                </c:pt>
                <c:pt idx="95">
                  <c:v>0.67349783074498371</c:v>
                </c:pt>
                <c:pt idx="96">
                  <c:v>0.67430313592923674</c:v>
                </c:pt>
                <c:pt idx="97">
                  <c:v>0.675085684765247</c:v>
                </c:pt>
                <c:pt idx="98">
                  <c:v>0.67584615686706528</c:v>
                </c:pt>
                <c:pt idx="99">
                  <c:v>0.67658520955349422</c:v>
                </c:pt>
                <c:pt idx="100">
                  <c:v>0.67730347868702678</c:v>
                </c:pt>
                <c:pt idx="101">
                  <c:v>0.67800157947566875</c:v>
                </c:pt>
                <c:pt idx="102">
                  <c:v>0.67868010723955174</c:v>
                </c:pt>
                <c:pt idx="103">
                  <c:v>0.67933963814413301</c:v>
                </c:pt>
                <c:pt idx="104">
                  <c:v>0.67998072990168845</c:v>
                </c:pt>
                <c:pt idx="105">
                  <c:v>0.68060392244268209</c:v>
                </c:pt>
                <c:pt idx="106">
                  <c:v>0.68120973855853939</c:v>
                </c:pt>
                <c:pt idx="107">
                  <c:v>0.68179868451722925</c:v>
                </c:pt>
                <c:pt idx="108">
                  <c:v>0.68237125065301363</c:v>
                </c:pt>
                <c:pt idx="109">
                  <c:v>0.68292791193162317</c:v>
                </c:pt>
                <c:pt idx="110">
                  <c:v>0.68346912849205887</c:v>
                </c:pt>
              </c:numCache>
            </c:numRef>
          </c:yVal>
          <c:smooth val="0"/>
          <c:extLst>
            <c:ext xmlns:c16="http://schemas.microsoft.com/office/drawing/2014/chart" uri="{C3380CC4-5D6E-409C-BE32-E72D297353CC}">
              <c16:uniqueId val="{00000000-AC11-4693-9315-0D91F5241822}"/>
            </c:ext>
          </c:extLst>
        </c:ser>
        <c:dLbls>
          <c:showLegendKey val="0"/>
          <c:showVal val="0"/>
          <c:showCatName val="0"/>
          <c:showSerName val="0"/>
          <c:showPercent val="0"/>
          <c:showBubbleSize val="0"/>
        </c:dLbls>
        <c:axId val="914885888"/>
        <c:axId val="914886872"/>
      </c:scatterChart>
      <c:valAx>
        <c:axId val="914885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6872"/>
        <c:crosses val="autoZero"/>
        <c:crossBetween val="midCat"/>
        <c:majorUnit val="10"/>
      </c:valAx>
      <c:valAx>
        <c:axId val="91488687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0_ " sourceLinked="0"/>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5888"/>
        <c:crosses val="autoZero"/>
        <c:crossBetween val="midCat"/>
        <c:majorUnit val="5.000000000000001E-2"/>
      </c:valAx>
      <c:spPr>
        <a:ln>
          <a:solidFill>
            <a:schemeClr val="tx1"/>
          </a:solidFill>
        </a:ln>
      </c:spPr>
    </c:plotArea>
    <c:plotVisOnly val="1"/>
    <c:dispBlanksAs val="gap"/>
    <c:showDLblsOverMax val="0"/>
  </c:chart>
  <c:spPr>
    <a:ln>
      <a:noFill/>
    </a:ln>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ja-JP"/>
              <a:t>樹高</a:t>
            </a:r>
            <a:r>
              <a:rPr lang="ja-JP" altLang="en-US"/>
              <a:t>の推移</a:t>
            </a:r>
            <a:endParaRPr lang="en-US"/>
          </a:p>
        </c:rich>
      </c:tx>
      <c:layout>
        <c:manualLayout>
          <c:xMode val="edge"/>
          <c:yMode val="edge"/>
          <c:x val="0.44089497009595113"/>
          <c:y val="1.8518518518518517E-2"/>
        </c:manualLayout>
      </c:layout>
      <c:overlay val="0"/>
      <c:spPr>
        <a:noFill/>
        <a:ln>
          <a:noFill/>
        </a:ln>
        <a:effectLst/>
      </c:spPr>
    </c:title>
    <c:autoTitleDeleted val="0"/>
    <c:plotArea>
      <c:layout>
        <c:manualLayout>
          <c:layoutTarget val="inner"/>
          <c:xMode val="edge"/>
          <c:yMode val="edge"/>
          <c:x val="0.14356697216126674"/>
          <c:y val="0.11967290520845698"/>
          <c:w val="0.8036132696527688"/>
          <c:h val="0.69676047438514632"/>
        </c:manualLayout>
      </c:layout>
      <c:scatterChart>
        <c:scatterStyle val="lineMarker"/>
        <c:varyColors val="0"/>
        <c:ser>
          <c:idx val="0"/>
          <c:order val="0"/>
          <c:tx>
            <c:v>樹高</c:v>
          </c:tx>
          <c:spPr>
            <a:ln>
              <a:solidFill>
                <a:schemeClr val="accent2"/>
              </a:solidFill>
            </a:ln>
          </c:spPr>
          <c:marker>
            <c:symbol val="none"/>
          </c:marker>
          <c:xVal>
            <c:numRef>
              <c:f>'b（手動）計算用'!$D$5:$D$115</c:f>
              <c:numCache>
                <c:formatCode>General</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'b（手動）計算用'!$G$5:$G$115</c:f>
              <c:numCache>
                <c:formatCode>0.0_ </c:formatCode>
                <c:ptCount val="111"/>
                <c:pt idx="0">
                  <c:v>7.005377668918638</c:v>
                </c:pt>
                <c:pt idx="1">
                  <c:v>7.6866187767008665</c:v>
                </c:pt>
                <c:pt idx="2">
                  <c:v>8.3560214438217386</c:v>
                </c:pt>
                <c:pt idx="3">
                  <c:v>9.0132564321920068</c:v>
                </c:pt>
                <c:pt idx="4">
                  <c:v>9.6580943635452208</c:v>
                </c:pt>
                <c:pt idx="5">
                  <c:v>10.290382189294702</c:v>
                </c:pt>
                <c:pt idx="6">
                  <c:v>10.910026199109787</c:v>
                </c:pt>
                <c:pt idx="7">
                  <c:v>11.516979531457144</c:v>
                </c:pt>
                <c:pt idx="8">
                  <c:v>12.111232869455735</c:v>
                </c:pt>
                <c:pt idx="9">
                  <c:v>12.692807439777415</c:v>
                </c:pt>
                <c:pt idx="10">
                  <c:v>13.261749704127018</c:v>
                </c:pt>
                <c:pt idx="11">
                  <c:v>13.818127308626075</c:v>
                </c:pt>
                <c:pt idx="12">
                  <c:v>14.362025973710765</c:v>
                </c:pt>
                <c:pt idx="13">
                  <c:v>14.893547087821741</c:v>
                </c:pt>
                <c:pt idx="14">
                  <c:v>15.412805825357026</c:v>
                </c:pt>
                <c:pt idx="15">
                  <c:v>15.919929651162615</c:v>
                </c:pt>
                <c:pt idx="16">
                  <c:v>16.415057105306442</c:v>
                </c:pt>
                <c:pt idx="17">
                  <c:v>16.898336786226629</c:v>
                </c:pt>
                <c:pt idx="18">
                  <c:v>17.369926469612402</c:v>
                </c:pt>
                <c:pt idx="19">
                  <c:v>17.829992315883583</c:v>
                </c:pt>
                <c:pt idx="20">
                  <c:v>18.278708131736447</c:v>
                </c:pt>
                <c:pt idx="21">
                  <c:v>18.716254661483859</c:v>
                </c:pt>
                <c:pt idx="22">
                  <c:v>19.142818892220774</c:v>
                </c:pt>
                <c:pt idx="23">
                  <c:v>19.558593363470184</c:v>
                </c:pt>
                <c:pt idx="24">
                  <c:v>19.963775477128916</c:v>
                </c:pt>
                <c:pt idx="25">
                  <c:v>20.358566807421841</c:v>
                </c:pt>
                <c:pt idx="26">
                  <c:v>20.743172413359066</c:v>
                </c:pt>
                <c:pt idx="27">
                  <c:v>21.117800158034136</c:v>
                </c:pt>
                <c:pt idx="28">
                  <c:v>21.482660040158859</c:v>
                </c:pt>
                <c:pt idx="29">
                  <c:v>21.837963543650535</c:v>
                </c:pt>
                <c:pt idx="30">
                  <c:v>22.183923011010634</c:v>
                </c:pt>
                <c:pt idx="31">
                  <c:v>22.520751045788124</c:v>
                </c:pt>
                <c:pt idx="32">
                  <c:v>22.848659948719757</c:v>
                </c:pt>
                <c:pt idx="33">
                  <c:v>23.167861191282384</c:v>
                </c:pt>
                <c:pt idx="34">
                  <c:v>23.478564929459516</c:v>
                </c:pt>
                <c:pt idx="35">
                  <c:v>23.780979559582203</c:v>
                </c:pt>
                <c:pt idx="36">
                  <c:v>24.075311317201503</c:v>
                </c:pt>
                <c:pt idx="37">
                  <c:v>24.361763919122062</c:v>
                </c:pt>
                <c:pt idx="38">
                  <c:v>24.64053824799684</c:v>
                </c:pt>
                <c:pt idx="39">
                  <c:v>24.911832078263824</c:v>
                </c:pt>
                <c:pt idx="40">
                  <c:v>25.175839841701567</c:v>
                </c:pt>
                <c:pt idx="41">
                  <c:v>25.432752430488847</c:v>
                </c:pt>
                <c:pt idx="42">
                  <c:v>25.682757035368347</c:v>
                </c:pt>
                <c:pt idx="43">
                  <c:v>25.926037016324717</c:v>
                </c:pt>
                <c:pt idx="44">
                  <c:v>26.162771803082592</c:v>
                </c:pt>
                <c:pt idx="45">
                  <c:v>26.393136822696903</c:v>
                </c:pt>
                <c:pt idx="46">
                  <c:v>26.617303451534312</c:v>
                </c:pt>
                <c:pt idx="47">
                  <c:v>26.835438989018716</c:v>
                </c:pt>
                <c:pt idx="48">
                  <c:v>27.047706650624068</c:v>
                </c:pt>
                <c:pt idx="49">
                  <c:v>27.25426557773557</c:v>
                </c:pt>
                <c:pt idx="50">
                  <c:v>27.455270862155562</c:v>
                </c:pt>
                <c:pt idx="51">
                  <c:v>27.650873583197519</c:v>
                </c:pt>
                <c:pt idx="52">
                  <c:v>27.841220855483183</c:v>
                </c:pt>
                <c:pt idx="53">
                  <c:v>28.026455885730172</c:v>
                </c:pt>
                <c:pt idx="54">
                  <c:v>28.206718036985855</c:v>
                </c:pt>
                <c:pt idx="55">
                  <c:v>28.382142898926077</c:v>
                </c:pt>
                <c:pt idx="56">
                  <c:v>28.552862362990862</c:v>
                </c:pt>
                <c:pt idx="57">
                  <c:v>28.719004701274081</c:v>
                </c:pt>
                <c:pt idx="58">
                  <c:v>28.880694648217556</c:v>
                </c:pt>
                <c:pt idx="59">
                  <c:v>29.038053484283193</c:v>
                </c:pt>
                <c:pt idx="60">
                  <c:v>29.191199120888513</c:v>
                </c:pt>
                <c:pt idx="61">
                  <c:v>29.340246185992296</c:v>
                </c:pt>
                <c:pt idx="62">
                  <c:v>29.485306109807635</c:v>
                </c:pt>
                <c:pt idx="63">
                  <c:v>29.62648721020097</c:v>
                </c:pt>
                <c:pt idx="64">
                  <c:v>29.763894777407348</c:v>
                </c:pt>
                <c:pt idx="65">
                  <c:v>29.897631157755349</c:v>
                </c:pt>
                <c:pt idx="66">
                  <c:v>30.027795836151071</c:v>
                </c:pt>
                <c:pt idx="67">
                  <c:v>30.154485517118435</c:v>
                </c:pt>
                <c:pt idx="68">
                  <c:v>30.277794204235548</c:v>
                </c:pt>
                <c:pt idx="69">
                  <c:v>30.397813277842882</c:v>
                </c:pt>
                <c:pt idx="70">
                  <c:v>30.514631570930302</c:v>
                </c:pt>
                <c:pt idx="71">
                  <c:v>30.628335443136372</c:v>
                </c:pt>
                <c:pt idx="72">
                  <c:v>30.739008852816088</c:v>
                </c:pt>
                <c:pt idx="73">
                  <c:v>30.846733427152206</c:v>
                </c:pt>
                <c:pt idx="74">
                  <c:v>30.951588530301056</c:v>
                </c:pt>
                <c:pt idx="75">
                  <c:v>31.053651329577239</c:v>
                </c:pt>
                <c:pt idx="76">
                  <c:v>31.152996859692191</c:v>
                </c:pt>
                <c:pt idx="77">
                  <c:v>31.249698085070811</c:v>
                </c:pt>
                <c:pt idx="78">
                  <c:v>31.34382596027713</c:v>
                </c:pt>
                <c:pt idx="79">
                  <c:v>31.435449488585853</c:v>
                </c:pt>
                <c:pt idx="80">
                  <c:v>31.52463577874099</c:v>
                </c:pt>
                <c:pt idx="81">
                  <c:v>31.611450099945927</c:v>
                </c:pt>
                <c:pt idx="82">
                  <c:v>31.695955935131838</c:v>
                </c:pt>
                <c:pt idx="83">
                  <c:v>31.778215032552865</c:v>
                </c:pt>
                <c:pt idx="84">
                  <c:v>31.858287455757491</c:v>
                </c:pt>
                <c:pt idx="85">
                  <c:v>31.936231631986093</c:v>
                </c:pt>
                <c:pt idx="86">
                  <c:v>32.012104399044432</c:v>
                </c:pt>
                <c:pt idx="87">
                  <c:v>32.085961050702814</c:v>
                </c:pt>
                <c:pt idx="88">
                  <c:v>32.157855380669837</c:v>
                </c:pt>
                <c:pt idx="89">
                  <c:v>32.227839725188701</c:v>
                </c:pt>
                <c:pt idx="90">
                  <c:v>32.295965004303454</c:v>
                </c:pt>
                <c:pt idx="91">
                  <c:v>32.362280761840779</c:v>
                </c:pt>
                <c:pt idx="92">
                  <c:v>32.426835204152212</c:v>
                </c:pt>
                <c:pt idx="93">
                  <c:v>32.489675237659988</c:v>
                </c:pt>
                <c:pt idx="94">
                  <c:v>32.550846505248529</c:v>
                </c:pt>
                <c:pt idx="95">
                  <c:v>32.610393421542035</c:v>
                </c:pt>
                <c:pt idx="96">
                  <c:v>32.668359207107322</c:v>
                </c:pt>
                <c:pt idx="97">
                  <c:v>32.724785921619691</c:v>
                </c:pt>
                <c:pt idx="98">
                  <c:v>32.779714496027857</c:v>
                </c:pt>
                <c:pt idx="99">
                  <c:v>32.833184763753202</c:v>
                </c:pt>
                <c:pt idx="100">
                  <c:v>32.885235490956617</c:v>
                </c:pt>
                <c:pt idx="101">
                  <c:v>32.935904405905355</c:v>
                </c:pt>
                <c:pt idx="102">
                  <c:v>32.985228227470728</c:v>
                </c:pt>
                <c:pt idx="103">
                  <c:v>33.033242692786509</c:v>
                </c:pt>
                <c:pt idx="104">
                  <c:v>33.079982584096534</c:v>
                </c:pt>
                <c:pt idx="105">
                  <c:v>33.1254817548188</c:v>
                </c:pt>
                <c:pt idx="106">
                  <c:v>33.169773154852507</c:v>
                </c:pt>
                <c:pt idx="107">
                  <c:v>33.212888855153139</c:v>
                </c:pt>
                <c:pt idx="108">
                  <c:v>33.254860071599857</c:v>
                </c:pt>
                <c:pt idx="109">
                  <c:v>33.295717188178457</c:v>
                </c:pt>
                <c:pt idx="110">
                  <c:v>33.335489779502211</c:v>
                </c:pt>
              </c:numCache>
            </c:numRef>
          </c:yVal>
          <c:smooth val="0"/>
          <c:extLst>
            <c:ext xmlns:c16="http://schemas.microsoft.com/office/drawing/2014/chart" uri="{C3380CC4-5D6E-409C-BE32-E72D297353CC}">
              <c16:uniqueId val="{00000000-295E-46A5-9DBC-BE4474EA73D2}"/>
            </c:ext>
          </c:extLst>
        </c:ser>
        <c:ser>
          <c:idx val="1"/>
          <c:order val="1"/>
          <c:tx>
            <c:v>現況</c:v>
          </c:tx>
          <c:spPr>
            <a:ln>
              <a:noFill/>
            </a:ln>
          </c:spPr>
          <c:marker>
            <c:symbol val="circle"/>
            <c:size val="5"/>
            <c:spPr>
              <a:solidFill>
                <a:srgbClr val="FFC000"/>
              </a:solidFill>
              <a:ln>
                <a:solidFill>
                  <a:schemeClr val="accent2"/>
                </a:solidFill>
              </a:ln>
            </c:spPr>
          </c:marker>
          <c:xVal>
            <c:numRef>
              <c:f>'結果（b 間伐施業)'!$B$12</c:f>
              <c:numCache>
                <c:formatCode>General</c:formatCode>
                <c:ptCount val="1"/>
                <c:pt idx="0">
                  <c:v>10</c:v>
                </c:pt>
              </c:numCache>
            </c:numRef>
          </c:xVal>
          <c:yVal>
            <c:numRef>
              <c:f>'結果（b 間伐施業)'!$C$12</c:f>
              <c:numCache>
                <c:formatCode>0.0_ </c:formatCode>
                <c:ptCount val="1"/>
                <c:pt idx="0">
                  <c:v>7</c:v>
                </c:pt>
              </c:numCache>
            </c:numRef>
          </c:yVal>
          <c:smooth val="0"/>
          <c:extLst>
            <c:ext xmlns:c16="http://schemas.microsoft.com/office/drawing/2014/chart" uri="{C3380CC4-5D6E-409C-BE32-E72D297353CC}">
              <c16:uniqueId val="{00000001-295E-46A5-9DBC-BE4474EA73D2}"/>
            </c:ext>
          </c:extLst>
        </c:ser>
        <c:ser>
          <c:idx val="2"/>
          <c:order val="2"/>
          <c:tx>
            <c:v>伐期</c:v>
          </c:tx>
          <c:spPr>
            <a:ln>
              <a:noFill/>
            </a:ln>
          </c:spPr>
          <c:marker>
            <c:symbol val="circle"/>
            <c:size val="5"/>
            <c:spPr>
              <a:solidFill>
                <a:srgbClr val="C00000"/>
              </a:solidFill>
              <a:ln>
                <a:solidFill>
                  <a:schemeClr val="accent2">
                    <a:lumMod val="50000"/>
                  </a:schemeClr>
                </a:solidFill>
              </a:ln>
            </c:spPr>
          </c:marker>
          <c:xVal>
            <c:numRef>
              <c:f>'結果（b 間伐施業)'!$B$42</c:f>
              <c:numCache>
                <c:formatCode>General</c:formatCode>
                <c:ptCount val="1"/>
                <c:pt idx="0">
                  <c:v>120</c:v>
                </c:pt>
              </c:numCache>
            </c:numRef>
          </c:xVal>
          <c:yVal>
            <c:numRef>
              <c:f>'結果（b 間伐施業)'!$C$42</c:f>
              <c:numCache>
                <c:formatCode>0.0_ </c:formatCode>
                <c:ptCount val="1"/>
                <c:pt idx="0">
                  <c:v>33.335489779502211</c:v>
                </c:pt>
              </c:numCache>
            </c:numRef>
          </c:yVal>
          <c:smooth val="0"/>
          <c:extLst>
            <c:ext xmlns:c16="http://schemas.microsoft.com/office/drawing/2014/chart" uri="{C3380CC4-5D6E-409C-BE32-E72D297353CC}">
              <c16:uniqueId val="{00000002-295E-46A5-9DBC-BE4474EA73D2}"/>
            </c:ext>
          </c:extLst>
        </c:ser>
        <c:dLbls>
          <c:showLegendKey val="0"/>
          <c:showVal val="0"/>
          <c:showCatName val="0"/>
          <c:showSerName val="0"/>
          <c:showPercent val="0"/>
          <c:showBubbleSize val="0"/>
        </c:dLbls>
        <c:axId val="914885888"/>
        <c:axId val="914886872"/>
      </c:scatterChart>
      <c:valAx>
        <c:axId val="914885888"/>
        <c:scaling>
          <c:orientation val="minMax"/>
        </c:scaling>
        <c:delete val="0"/>
        <c:axPos val="b"/>
        <c:majorGridlines>
          <c:spPr>
            <a:ln w="9525" cap="flat" cmpd="sng" algn="ctr">
              <a:solidFill>
                <a:schemeClr val="tx1">
                  <a:lumMod val="15000"/>
                  <a:lumOff val="85000"/>
                </a:schemeClr>
              </a:solidFill>
              <a:round/>
            </a:ln>
            <a:effectLst/>
          </c:spPr>
        </c:majorGridlines>
        <c:title>
          <c:tx>
            <c:rich>
              <a:bodyPr/>
              <a:lstStyle/>
              <a:p>
                <a:pPr>
                  <a:defRPr/>
                </a:pPr>
                <a:r>
                  <a:rPr lang="ja-JP" altLang="en-US"/>
                  <a:t>林齢（年生）</a:t>
                </a:r>
              </a:p>
            </c:rich>
          </c:tx>
          <c:layout/>
          <c:overlay val="0"/>
        </c:title>
        <c:numFmt formatCode="General" sourceLinked="1"/>
        <c:majorTickMark val="none"/>
        <c:minorTickMark val="none"/>
        <c:tickLblPos val="nextTo"/>
        <c:spPr>
          <a:noFill/>
          <a:ln w="9525" cap="flat" cmpd="sng" algn="ctr">
            <a:solidFill>
              <a:sysClr val="windowText" lastClr="000000"/>
            </a:solidFill>
            <a:round/>
          </a:ln>
          <a:effectLst/>
        </c:spPr>
        <c:txPr>
          <a:bodyPr rot="-60000000" vert="horz"/>
          <a:lstStyle/>
          <a:p>
            <a:pPr>
              <a:defRPr/>
            </a:pPr>
            <a:endParaRPr lang="ja-JP"/>
          </a:p>
        </c:txPr>
        <c:crossAx val="914886872"/>
        <c:crosses val="autoZero"/>
        <c:crossBetween val="midCat"/>
        <c:majorUnit val="10"/>
      </c:valAx>
      <c:valAx>
        <c:axId val="914886872"/>
        <c:scaling>
          <c:orientation val="minMax"/>
          <c:max val="50"/>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ja-JP" altLang="en-US"/>
                  <a:t>樹高（</a:t>
                </a:r>
                <a:r>
                  <a:rPr lang="en-US" altLang="ja-JP"/>
                  <a:t>m</a:t>
                </a:r>
                <a:r>
                  <a:rPr lang="ja-JP" altLang="en-US"/>
                  <a:t>）</a:t>
                </a:r>
              </a:p>
            </c:rich>
          </c:tx>
          <c:layout/>
          <c:overlay val="0"/>
        </c:title>
        <c:numFmt formatCode="0_ " sourceLinked="0"/>
        <c:majorTickMark val="none"/>
        <c:minorTickMark val="none"/>
        <c:tickLblPos val="nextTo"/>
        <c:spPr>
          <a:noFill/>
          <a:ln w="9525" cap="flat" cmpd="sng" algn="ctr">
            <a:solidFill>
              <a:sysClr val="windowText" lastClr="000000"/>
            </a:solidFill>
            <a:round/>
          </a:ln>
          <a:effectLst/>
        </c:spPr>
        <c:txPr>
          <a:bodyPr rot="-60000000" vert="horz"/>
          <a:lstStyle/>
          <a:p>
            <a:pPr>
              <a:defRPr/>
            </a:pPr>
            <a:endParaRPr lang="ja-JP"/>
          </a:p>
        </c:txPr>
        <c:crossAx val="914885888"/>
        <c:crosses val="autoZero"/>
        <c:crossBetween val="midCat"/>
        <c:majorUnit val="10"/>
      </c:valAx>
      <c:spPr>
        <a:ln>
          <a:solidFill>
            <a:schemeClr val="tx1"/>
          </a:solidFill>
        </a:ln>
      </c:spPr>
    </c:plotArea>
    <c:legend>
      <c:legendPos val="r"/>
      <c:legendEntry>
        <c:idx val="1"/>
        <c:delete val="1"/>
      </c:legendEntry>
      <c:legendEntry>
        <c:idx val="2"/>
        <c:delete val="1"/>
      </c:legendEntry>
      <c:layout>
        <c:manualLayout>
          <c:xMode val="edge"/>
          <c:yMode val="edge"/>
          <c:x val="0.19125683060109289"/>
          <c:y val="0.17922231943229319"/>
          <c:w val="0.253551912568306"/>
          <c:h val="9.6711869349664623E-2"/>
        </c:manualLayout>
      </c:layout>
      <c:overlay val="0"/>
      <c:spPr>
        <a:solidFill>
          <a:schemeClr val="bg1"/>
        </a:solidFill>
        <a:ln>
          <a:solidFill>
            <a:sysClr val="windowText" lastClr="000000"/>
          </a:solidFill>
        </a:ln>
      </c:spPr>
    </c:legend>
    <c:plotVisOnly val="1"/>
    <c:dispBlanksAs val="gap"/>
    <c:showDLblsOverMax val="0"/>
  </c:chart>
  <c:spPr>
    <a:ln>
      <a:noFill/>
    </a:ln>
  </c:spPr>
  <c:txPr>
    <a:bodyPr/>
    <a:lstStyle/>
    <a:p>
      <a:pPr>
        <a:defRPr sz="800"/>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ja-JP" altLang="en-US"/>
              <a:t>密度の推移</a:t>
            </a:r>
            <a:endParaRPr lang="en-US"/>
          </a:p>
        </c:rich>
      </c:tx>
      <c:layout>
        <c:manualLayout>
          <c:xMode val="edge"/>
          <c:yMode val="edge"/>
          <c:x val="0.44089497009595113"/>
          <c:y val="1.8518518518518517E-2"/>
        </c:manualLayout>
      </c:layout>
      <c:overlay val="0"/>
      <c:spPr>
        <a:noFill/>
        <a:ln>
          <a:noFill/>
        </a:ln>
        <a:effectLst/>
      </c:spPr>
    </c:title>
    <c:autoTitleDeleted val="0"/>
    <c:plotArea>
      <c:layout>
        <c:manualLayout>
          <c:layoutTarget val="inner"/>
          <c:xMode val="edge"/>
          <c:yMode val="edge"/>
          <c:x val="0.18142195947903988"/>
          <c:y val="0.11967290520845698"/>
          <c:w val="0.76575838114872852"/>
          <c:h val="0.69676047438514632"/>
        </c:manualLayout>
      </c:layout>
      <c:scatterChart>
        <c:scatterStyle val="lineMarker"/>
        <c:varyColors val="0"/>
        <c:ser>
          <c:idx val="0"/>
          <c:order val="0"/>
          <c:tx>
            <c:v>ha本数</c:v>
          </c:tx>
          <c:spPr>
            <a:ln>
              <a:solidFill>
                <a:schemeClr val="accent6"/>
              </a:solidFill>
            </a:ln>
          </c:spPr>
          <c:marker>
            <c:symbol val="none"/>
          </c:marker>
          <c:xVal>
            <c:numRef>
              <c:f>'b（手動）計算用'!$D$5:$D$115</c:f>
              <c:numCache>
                <c:formatCode>General</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'b（手動）計算用'!$F$5:$F$115</c:f>
              <c:numCache>
                <c:formatCode>0_ </c:formatCode>
                <c:ptCount val="111"/>
                <c:pt idx="0">
                  <c:v>2400</c:v>
                </c:pt>
                <c:pt idx="1">
                  <c:v>2400</c:v>
                </c:pt>
                <c:pt idx="2">
                  <c:v>2378.6995149385252</c:v>
                </c:pt>
                <c:pt idx="3">
                  <c:v>2359.9216915640836</c:v>
                </c:pt>
                <c:pt idx="4">
                  <c:v>2340.7662406907311</c:v>
                </c:pt>
                <c:pt idx="5">
                  <c:v>2321.3807070057342</c:v>
                </c:pt>
                <c:pt idx="6">
                  <c:v>2301.8907004546645</c:v>
                </c:pt>
                <c:pt idx="7">
                  <c:v>2282.402289098367</c:v>
                </c:pt>
                <c:pt idx="8">
                  <c:v>2263.0043655536742</c:v>
                </c:pt>
                <c:pt idx="9">
                  <c:v>2243.7708697822568</c:v>
                </c:pt>
                <c:pt idx="10">
                  <c:v>2224.7628122291453</c:v>
                </c:pt>
                <c:pt idx="11">
                  <c:v>2206.0300779597787</c:v>
                </c:pt>
                <c:pt idx="12">
                  <c:v>2187.6130135408257</c:v>
                </c:pt>
                <c:pt idx="13">
                  <c:v>2169.5438098124546</c:v>
                </c:pt>
                <c:pt idx="14">
                  <c:v>2151.8476991637572</c:v>
                </c:pt>
                <c:pt idx="15">
                  <c:v>2134.5439878349262</c:v>
                </c:pt>
                <c:pt idx="16">
                  <c:v>2117.6469436323105</c:v>
                </c:pt>
                <c:pt idx="17">
                  <c:v>2101.166558191509</c:v>
                </c:pt>
                <c:pt idx="18">
                  <c:v>2085.1092011342921</c:v>
                </c:pt>
                <c:pt idx="19">
                  <c:v>2069.4781814832136</c:v>
                </c:pt>
                <c:pt idx="20">
                  <c:v>2054.2742297248478</c:v>
                </c:pt>
                <c:pt idx="21">
                  <c:v>1434.2742297248478</c:v>
                </c:pt>
                <c:pt idx="22">
                  <c:v>1434.2742297248478</c:v>
                </c:pt>
                <c:pt idx="23">
                  <c:v>1434.2742297248478</c:v>
                </c:pt>
                <c:pt idx="24">
                  <c:v>1434.2742297248478</c:v>
                </c:pt>
                <c:pt idx="25">
                  <c:v>1434.2742297248478</c:v>
                </c:pt>
                <c:pt idx="26">
                  <c:v>1434.2742297248478</c:v>
                </c:pt>
                <c:pt idx="27">
                  <c:v>1434.2742297248478</c:v>
                </c:pt>
                <c:pt idx="28">
                  <c:v>1434.2742297248478</c:v>
                </c:pt>
                <c:pt idx="29">
                  <c:v>1434.2742297248478</c:v>
                </c:pt>
                <c:pt idx="30">
                  <c:v>1434.2742297248478</c:v>
                </c:pt>
                <c:pt idx="31">
                  <c:v>1144.2742297248478</c:v>
                </c:pt>
                <c:pt idx="32">
                  <c:v>1144.2742297248478</c:v>
                </c:pt>
                <c:pt idx="33">
                  <c:v>1144.2742297248478</c:v>
                </c:pt>
                <c:pt idx="34">
                  <c:v>1144.2742297248478</c:v>
                </c:pt>
                <c:pt idx="35">
                  <c:v>1144.2742297248478</c:v>
                </c:pt>
                <c:pt idx="36">
                  <c:v>1144.2742297248478</c:v>
                </c:pt>
                <c:pt idx="37">
                  <c:v>1144.2742297248478</c:v>
                </c:pt>
                <c:pt idx="38">
                  <c:v>1144.2742297248478</c:v>
                </c:pt>
                <c:pt idx="39">
                  <c:v>1144.2742297248478</c:v>
                </c:pt>
                <c:pt idx="40">
                  <c:v>1144.2742297248478</c:v>
                </c:pt>
                <c:pt idx="41">
                  <c:v>1144.2742297248478</c:v>
                </c:pt>
                <c:pt idx="42">
                  <c:v>1144.2742297248478</c:v>
                </c:pt>
                <c:pt idx="43">
                  <c:v>1144.2742297248478</c:v>
                </c:pt>
                <c:pt idx="44">
                  <c:v>1144.2742297248478</c:v>
                </c:pt>
                <c:pt idx="45">
                  <c:v>1144.2742297248478</c:v>
                </c:pt>
                <c:pt idx="46">
                  <c:v>914.27422972484783</c:v>
                </c:pt>
                <c:pt idx="47">
                  <c:v>914.27422972484783</c:v>
                </c:pt>
                <c:pt idx="48">
                  <c:v>914.27422972484783</c:v>
                </c:pt>
                <c:pt idx="49">
                  <c:v>914.27422972484783</c:v>
                </c:pt>
                <c:pt idx="50">
                  <c:v>914.27422972484783</c:v>
                </c:pt>
                <c:pt idx="51">
                  <c:v>914.27422972484783</c:v>
                </c:pt>
                <c:pt idx="52">
                  <c:v>914.27422972484783</c:v>
                </c:pt>
                <c:pt idx="53">
                  <c:v>914.27422972484783</c:v>
                </c:pt>
                <c:pt idx="54">
                  <c:v>914.27422972484783</c:v>
                </c:pt>
                <c:pt idx="55">
                  <c:v>914.27422972484783</c:v>
                </c:pt>
                <c:pt idx="56">
                  <c:v>914.27422972484783</c:v>
                </c:pt>
                <c:pt idx="57">
                  <c:v>914.27422972484783</c:v>
                </c:pt>
                <c:pt idx="58">
                  <c:v>914.27422972484783</c:v>
                </c:pt>
                <c:pt idx="59">
                  <c:v>914.27422972484783</c:v>
                </c:pt>
                <c:pt idx="60">
                  <c:v>914.27422972484783</c:v>
                </c:pt>
                <c:pt idx="61">
                  <c:v>914.27422972484783</c:v>
                </c:pt>
                <c:pt idx="62">
                  <c:v>914.27422972484783</c:v>
                </c:pt>
                <c:pt idx="63">
                  <c:v>914.27422972484783</c:v>
                </c:pt>
                <c:pt idx="64">
                  <c:v>914.27422972484783</c:v>
                </c:pt>
                <c:pt idx="65">
                  <c:v>914.27422972484783</c:v>
                </c:pt>
                <c:pt idx="66">
                  <c:v>914.27422972484783</c:v>
                </c:pt>
                <c:pt idx="67">
                  <c:v>914.27422972484783</c:v>
                </c:pt>
                <c:pt idx="68">
                  <c:v>914.27422972484783</c:v>
                </c:pt>
                <c:pt idx="69">
                  <c:v>914.27422972484783</c:v>
                </c:pt>
                <c:pt idx="70">
                  <c:v>914.27422972484783</c:v>
                </c:pt>
                <c:pt idx="71">
                  <c:v>914.27422972484783</c:v>
                </c:pt>
                <c:pt idx="72">
                  <c:v>914.27422972484783</c:v>
                </c:pt>
                <c:pt idx="73">
                  <c:v>914.27422972484783</c:v>
                </c:pt>
                <c:pt idx="74">
                  <c:v>914.27422972484783</c:v>
                </c:pt>
                <c:pt idx="75">
                  <c:v>914.27422972484783</c:v>
                </c:pt>
                <c:pt idx="76">
                  <c:v>914.27422972484783</c:v>
                </c:pt>
                <c:pt idx="77">
                  <c:v>914.27422972484783</c:v>
                </c:pt>
                <c:pt idx="78">
                  <c:v>914.27422972484783</c:v>
                </c:pt>
                <c:pt idx="79">
                  <c:v>914.27422972484783</c:v>
                </c:pt>
                <c:pt idx="80">
                  <c:v>914.27422972484783</c:v>
                </c:pt>
                <c:pt idx="81">
                  <c:v>914.27422972484783</c:v>
                </c:pt>
                <c:pt idx="82">
                  <c:v>914.27422972484783</c:v>
                </c:pt>
                <c:pt idx="83">
                  <c:v>914.27422972484783</c:v>
                </c:pt>
                <c:pt idx="84">
                  <c:v>914.27422972484783</c:v>
                </c:pt>
                <c:pt idx="85">
                  <c:v>914.27422972484783</c:v>
                </c:pt>
                <c:pt idx="86">
                  <c:v>914.27422972484783</c:v>
                </c:pt>
                <c:pt idx="87">
                  <c:v>914.27422972484783</c:v>
                </c:pt>
                <c:pt idx="88">
                  <c:v>914.27422972484783</c:v>
                </c:pt>
                <c:pt idx="89">
                  <c:v>914.27422972484783</c:v>
                </c:pt>
                <c:pt idx="90">
                  <c:v>914.27422972484783</c:v>
                </c:pt>
                <c:pt idx="91">
                  <c:v>914.27422972484783</c:v>
                </c:pt>
                <c:pt idx="92">
                  <c:v>914.27422972484783</c:v>
                </c:pt>
                <c:pt idx="93">
                  <c:v>914.27422972484783</c:v>
                </c:pt>
                <c:pt idx="94">
                  <c:v>914.27422972484783</c:v>
                </c:pt>
                <c:pt idx="95">
                  <c:v>914.27422972484783</c:v>
                </c:pt>
                <c:pt idx="96">
                  <c:v>914.27422972484783</c:v>
                </c:pt>
                <c:pt idx="97">
                  <c:v>914.27422972484783</c:v>
                </c:pt>
                <c:pt idx="98">
                  <c:v>914.27422972484783</c:v>
                </c:pt>
                <c:pt idx="99">
                  <c:v>914.27422972484783</c:v>
                </c:pt>
                <c:pt idx="100">
                  <c:v>914.27422972484783</c:v>
                </c:pt>
                <c:pt idx="101">
                  <c:v>914.27422972484783</c:v>
                </c:pt>
                <c:pt idx="102">
                  <c:v>914.27422972484783</c:v>
                </c:pt>
                <c:pt idx="103">
                  <c:v>914.27422972484783</c:v>
                </c:pt>
                <c:pt idx="104">
                  <c:v>914.27422972484783</c:v>
                </c:pt>
                <c:pt idx="105">
                  <c:v>914.27422972484783</c:v>
                </c:pt>
                <c:pt idx="106">
                  <c:v>914.27422972484783</c:v>
                </c:pt>
                <c:pt idx="107">
                  <c:v>914.27422972484783</c:v>
                </c:pt>
                <c:pt idx="108">
                  <c:v>914.27422972484783</c:v>
                </c:pt>
                <c:pt idx="109">
                  <c:v>914.27422972484783</c:v>
                </c:pt>
                <c:pt idx="110">
                  <c:v>914.27422972484783</c:v>
                </c:pt>
              </c:numCache>
            </c:numRef>
          </c:yVal>
          <c:smooth val="0"/>
          <c:extLst>
            <c:ext xmlns:c16="http://schemas.microsoft.com/office/drawing/2014/chart" uri="{C3380CC4-5D6E-409C-BE32-E72D297353CC}">
              <c16:uniqueId val="{00000000-9ED1-4F5F-BFD2-B39E001E345C}"/>
            </c:ext>
          </c:extLst>
        </c:ser>
        <c:ser>
          <c:idx val="1"/>
          <c:order val="1"/>
          <c:tx>
            <c:v>現況</c:v>
          </c:tx>
          <c:spPr>
            <a:ln>
              <a:noFill/>
            </a:ln>
          </c:spPr>
          <c:marker>
            <c:symbol val="circle"/>
            <c:size val="5"/>
            <c:spPr>
              <a:solidFill>
                <a:schemeClr val="accent6">
                  <a:lumMod val="60000"/>
                  <a:lumOff val="40000"/>
                </a:schemeClr>
              </a:solidFill>
              <a:ln>
                <a:solidFill>
                  <a:schemeClr val="accent6"/>
                </a:solidFill>
              </a:ln>
            </c:spPr>
          </c:marker>
          <c:xVal>
            <c:numRef>
              <c:f>'結果（b 間伐施業)'!$B$12</c:f>
              <c:numCache>
                <c:formatCode>General</c:formatCode>
                <c:ptCount val="1"/>
                <c:pt idx="0">
                  <c:v>10</c:v>
                </c:pt>
              </c:numCache>
            </c:numRef>
          </c:xVal>
          <c:yVal>
            <c:numRef>
              <c:f>'結果（b 間伐施業)'!$E$12</c:f>
              <c:numCache>
                <c:formatCode>#,##0_ </c:formatCode>
                <c:ptCount val="1"/>
                <c:pt idx="0">
                  <c:v>2400</c:v>
                </c:pt>
              </c:numCache>
            </c:numRef>
          </c:yVal>
          <c:smooth val="0"/>
          <c:extLst>
            <c:ext xmlns:c16="http://schemas.microsoft.com/office/drawing/2014/chart" uri="{C3380CC4-5D6E-409C-BE32-E72D297353CC}">
              <c16:uniqueId val="{00000001-9ED1-4F5F-BFD2-B39E001E345C}"/>
            </c:ext>
          </c:extLst>
        </c:ser>
        <c:ser>
          <c:idx val="2"/>
          <c:order val="2"/>
          <c:tx>
            <c:v>伐期</c:v>
          </c:tx>
          <c:spPr>
            <a:ln>
              <a:noFill/>
            </a:ln>
          </c:spPr>
          <c:marker>
            <c:symbol val="circle"/>
            <c:size val="5"/>
            <c:spPr>
              <a:solidFill>
                <a:schemeClr val="accent6">
                  <a:lumMod val="75000"/>
                </a:schemeClr>
              </a:solidFill>
              <a:ln>
                <a:solidFill>
                  <a:schemeClr val="accent6">
                    <a:lumMod val="50000"/>
                  </a:schemeClr>
                </a:solidFill>
              </a:ln>
            </c:spPr>
          </c:marker>
          <c:xVal>
            <c:numRef>
              <c:f>'結果（b 間伐施業)'!$B$42</c:f>
              <c:numCache>
                <c:formatCode>General</c:formatCode>
                <c:ptCount val="1"/>
                <c:pt idx="0">
                  <c:v>120</c:v>
                </c:pt>
              </c:numCache>
            </c:numRef>
          </c:xVal>
          <c:yVal>
            <c:numRef>
              <c:f>'結果（b 間伐施業)'!$E$42</c:f>
              <c:numCache>
                <c:formatCode>0_ </c:formatCode>
                <c:ptCount val="1"/>
                <c:pt idx="0">
                  <c:v>914.27422972484783</c:v>
                </c:pt>
              </c:numCache>
            </c:numRef>
          </c:yVal>
          <c:smooth val="0"/>
          <c:extLst>
            <c:ext xmlns:c16="http://schemas.microsoft.com/office/drawing/2014/chart" uri="{C3380CC4-5D6E-409C-BE32-E72D297353CC}">
              <c16:uniqueId val="{00000002-9ED1-4F5F-BFD2-B39E001E345C}"/>
            </c:ext>
          </c:extLst>
        </c:ser>
        <c:dLbls>
          <c:showLegendKey val="0"/>
          <c:showVal val="0"/>
          <c:showCatName val="0"/>
          <c:showSerName val="0"/>
          <c:showPercent val="0"/>
          <c:showBubbleSize val="0"/>
        </c:dLbls>
        <c:axId val="914885888"/>
        <c:axId val="914886872"/>
      </c:scatterChart>
      <c:valAx>
        <c:axId val="914885888"/>
        <c:scaling>
          <c:orientation val="minMax"/>
        </c:scaling>
        <c:delete val="0"/>
        <c:axPos val="b"/>
        <c:majorGridlines>
          <c:spPr>
            <a:ln w="9525" cap="flat" cmpd="sng" algn="ctr">
              <a:solidFill>
                <a:schemeClr val="tx1">
                  <a:lumMod val="15000"/>
                  <a:lumOff val="85000"/>
                </a:schemeClr>
              </a:solidFill>
              <a:round/>
            </a:ln>
            <a:effectLst/>
          </c:spPr>
        </c:majorGridlines>
        <c:title>
          <c:tx>
            <c:rich>
              <a:bodyPr/>
              <a:lstStyle/>
              <a:p>
                <a:pPr>
                  <a:defRPr/>
                </a:pPr>
                <a:r>
                  <a:rPr lang="ja-JP" altLang="en-US"/>
                  <a:t>林齢（年生）</a:t>
                </a:r>
              </a:p>
            </c:rich>
          </c:tx>
          <c:layout/>
          <c:overlay val="0"/>
        </c:title>
        <c:numFmt formatCode="General" sourceLinked="1"/>
        <c:majorTickMark val="none"/>
        <c:minorTickMark val="none"/>
        <c:tickLblPos val="nextTo"/>
        <c:spPr>
          <a:noFill/>
          <a:ln w="9525" cap="flat" cmpd="sng" algn="ctr">
            <a:solidFill>
              <a:sysClr val="windowText" lastClr="000000"/>
            </a:solidFill>
            <a:round/>
          </a:ln>
          <a:effectLst/>
        </c:spPr>
        <c:txPr>
          <a:bodyPr rot="-60000000" vert="horz"/>
          <a:lstStyle/>
          <a:p>
            <a:pPr>
              <a:defRPr/>
            </a:pPr>
            <a:endParaRPr lang="ja-JP"/>
          </a:p>
        </c:txPr>
        <c:crossAx val="914886872"/>
        <c:crosses val="autoZero"/>
        <c:crossBetween val="midCat"/>
        <c:majorUnit val="10"/>
      </c:valAx>
      <c:valAx>
        <c:axId val="914886872"/>
        <c:scaling>
          <c:orientation val="minMax"/>
          <c:max val="4000"/>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en-US" altLang="ja-JP"/>
                  <a:t>ha</a:t>
                </a:r>
                <a:r>
                  <a:rPr lang="ja-JP" altLang="en-US"/>
                  <a:t>あたり本数（本</a:t>
                </a:r>
                <a:r>
                  <a:rPr lang="en-US" altLang="ja-JP"/>
                  <a:t>/ha</a:t>
                </a:r>
                <a:r>
                  <a:rPr lang="ja-JP" altLang="en-US"/>
                  <a:t>）</a:t>
                </a:r>
              </a:p>
            </c:rich>
          </c:tx>
          <c:layout/>
          <c:overlay val="0"/>
        </c:title>
        <c:numFmt formatCode="#,##0_ " sourceLinked="0"/>
        <c:majorTickMark val="none"/>
        <c:minorTickMark val="none"/>
        <c:tickLblPos val="nextTo"/>
        <c:spPr>
          <a:noFill/>
          <a:ln w="9525" cap="flat" cmpd="sng" algn="ctr">
            <a:solidFill>
              <a:sysClr val="windowText" lastClr="000000"/>
            </a:solidFill>
            <a:round/>
          </a:ln>
          <a:effectLst/>
        </c:spPr>
        <c:txPr>
          <a:bodyPr rot="-60000000" vert="horz"/>
          <a:lstStyle/>
          <a:p>
            <a:pPr>
              <a:defRPr/>
            </a:pPr>
            <a:endParaRPr lang="ja-JP"/>
          </a:p>
        </c:txPr>
        <c:crossAx val="914885888"/>
        <c:crosses val="autoZero"/>
        <c:crossBetween val="midCat"/>
        <c:majorUnit val="500"/>
      </c:valAx>
      <c:spPr>
        <a:ln>
          <a:solidFill>
            <a:schemeClr val="tx1"/>
          </a:solidFill>
        </a:ln>
      </c:spPr>
    </c:plotArea>
    <c:legend>
      <c:legendPos val="r"/>
      <c:legendEntry>
        <c:idx val="1"/>
        <c:delete val="1"/>
      </c:legendEntry>
      <c:legendEntry>
        <c:idx val="2"/>
        <c:delete val="1"/>
      </c:legendEntry>
      <c:layout>
        <c:manualLayout>
          <c:xMode val="edge"/>
          <c:yMode val="edge"/>
          <c:x val="0.64233421926360146"/>
          <c:y val="0.17304947992612035"/>
          <c:w val="0.26513160618329651"/>
          <c:h val="9.6711869349664623E-2"/>
        </c:manualLayout>
      </c:layout>
      <c:overlay val="0"/>
      <c:spPr>
        <a:solidFill>
          <a:schemeClr val="bg1"/>
        </a:solidFill>
        <a:ln>
          <a:solidFill>
            <a:sysClr val="windowText" lastClr="000000"/>
          </a:solidFill>
        </a:ln>
      </c:spPr>
    </c:legend>
    <c:plotVisOnly val="1"/>
    <c:dispBlanksAs val="gap"/>
    <c:showDLblsOverMax val="0"/>
  </c:chart>
  <c:spPr>
    <a:ln>
      <a:noFill/>
    </a:ln>
  </c:spPr>
  <c:txPr>
    <a:bodyPr/>
    <a:lstStyle/>
    <a:p>
      <a:pPr>
        <a:defRPr sz="800"/>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ja-JP" altLang="en-US"/>
              <a:t>直径・材積の推移</a:t>
            </a:r>
            <a:endParaRPr lang="en-US"/>
          </a:p>
        </c:rich>
      </c:tx>
      <c:layout>
        <c:manualLayout>
          <c:xMode val="edge"/>
          <c:yMode val="edge"/>
          <c:x val="0.36220644550578718"/>
          <c:y val="1.8518518518518517E-2"/>
        </c:manualLayout>
      </c:layout>
      <c:overlay val="0"/>
      <c:spPr>
        <a:noFill/>
        <a:ln>
          <a:noFill/>
        </a:ln>
        <a:effectLst/>
      </c:spPr>
    </c:title>
    <c:autoTitleDeleted val="0"/>
    <c:plotArea>
      <c:layout>
        <c:manualLayout>
          <c:layoutTarget val="inner"/>
          <c:xMode val="edge"/>
          <c:yMode val="edge"/>
          <c:x val="0.18894869959436889"/>
          <c:y val="0.11967290520845698"/>
          <c:w val="0.69452223017577353"/>
          <c:h val="0.69676047438514632"/>
        </c:manualLayout>
      </c:layout>
      <c:scatterChart>
        <c:scatterStyle val="lineMarker"/>
        <c:varyColors val="0"/>
        <c:ser>
          <c:idx val="3"/>
          <c:order val="3"/>
          <c:tx>
            <c:strRef>
              <c:f>'b（手動）計算用'!$H$4</c:f>
              <c:strCache>
                <c:ptCount val="1"/>
                <c:pt idx="0">
                  <c:v>ha材積</c:v>
                </c:pt>
              </c:strCache>
            </c:strRef>
          </c:tx>
          <c:marker>
            <c:symbol val="none"/>
          </c:marker>
          <c:xVal>
            <c:numRef>
              <c:f>'b（手動）計算用'!$D$5:$D$115</c:f>
              <c:numCache>
                <c:formatCode>General</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'b（手動）計算用'!$H$5:$H$115</c:f>
              <c:numCache>
                <c:formatCode>0.0_ </c:formatCode>
                <c:ptCount val="111"/>
                <c:pt idx="0">
                  <c:v>102.2800111677394</c:v>
                </c:pt>
                <c:pt idx="1">
                  <c:v>124.22331651364004</c:v>
                </c:pt>
                <c:pt idx="2">
                  <c:v>146.76866090703777</c:v>
                </c:pt>
                <c:pt idx="3">
                  <c:v>170.35142162858887</c:v>
                </c:pt>
                <c:pt idx="4">
                  <c:v>194.70162037952747</c:v>
                </c:pt>
                <c:pt idx="5">
                  <c:v>219.66196464449416</c:v>
                </c:pt>
                <c:pt idx="6">
                  <c:v>245.09492476727775</c:v>
                </c:pt>
                <c:pt idx="7">
                  <c:v>270.88036921106317</c:v>
                </c:pt>
                <c:pt idx="8">
                  <c:v>296.91335942972614</c:v>
                </c:pt>
                <c:pt idx="9">
                  <c:v>323.10217185137168</c:v>
                </c:pt>
                <c:pt idx="10">
                  <c:v>349.36656442215394</c:v>
                </c:pt>
                <c:pt idx="11">
                  <c:v>375.63627903669754</c:v>
                </c:pt>
                <c:pt idx="12">
                  <c:v>401.8497588205708</c:v>
                </c:pt>
                <c:pt idx="13">
                  <c:v>427.95305457127449</c:v>
                </c:pt>
                <c:pt idx="14">
                  <c:v>453.89889415417747</c:v>
                </c:pt>
                <c:pt idx="15">
                  <c:v>479.64589023952368</c:v>
                </c:pt>
                <c:pt idx="16">
                  <c:v>505.15786429703888</c:v>
                </c:pt>
                <c:pt idx="17">
                  <c:v>530.4032675978408</c:v>
                </c:pt>
                <c:pt idx="18">
                  <c:v>555.35468277166194</c:v>
                </c:pt>
                <c:pt idx="19">
                  <c:v>579.98839206411412</c:v>
                </c:pt>
                <c:pt idx="20">
                  <c:v>604.28400076205753</c:v>
                </c:pt>
                <c:pt idx="21">
                  <c:v>553.65280486398251</c:v>
                </c:pt>
                <c:pt idx="22">
                  <c:v>577.10600989738703</c:v>
                </c:pt>
                <c:pt idx="23">
                  <c:v>600.27008861044362</c:v>
                </c:pt>
                <c:pt idx="24">
                  <c:v>623.12610548454222</c:v>
                </c:pt>
                <c:pt idx="25">
                  <c:v>645.6577675810679</c:v>
                </c:pt>
                <c:pt idx="26">
                  <c:v>667.85119866670391</c:v>
                </c:pt>
                <c:pt idx="27">
                  <c:v>689.69472876539942</c:v>
                </c:pt>
                <c:pt idx="28">
                  <c:v>711.17869805283431</c:v>
                </c:pt>
                <c:pt idx="29">
                  <c:v>732.29527417920644</c:v>
                </c:pt>
                <c:pt idx="30">
                  <c:v>753.03828223992923</c:v>
                </c:pt>
                <c:pt idx="31">
                  <c:v>711.72785869968254</c:v>
                </c:pt>
                <c:pt idx="32">
                  <c:v>730.86209724929176</c:v>
                </c:pt>
                <c:pt idx="33">
                  <c:v>749.6462682297913</c:v>
                </c:pt>
                <c:pt idx="34">
                  <c:v>768.0778502353603</c:v>
                </c:pt>
                <c:pt idx="35">
                  <c:v>786.15536229490056</c:v>
                </c:pt>
                <c:pt idx="36">
                  <c:v>803.87825623091862</c:v>
                </c:pt>
                <c:pt idx="37">
                  <c:v>821.24681741305517</c:v>
                </c:pt>
                <c:pt idx="38">
                  <c:v>838.26207350237883</c:v>
                </c:pt>
                <c:pt idx="39">
                  <c:v>854.92571076889703</c:v>
                </c:pt>
                <c:pt idx="40">
                  <c:v>871.23999755514399</c:v>
                </c:pt>
                <c:pt idx="41">
                  <c:v>887.20771445367052</c:v>
                </c:pt>
                <c:pt idx="42">
                  <c:v>902.832090765825</c:v>
                </c:pt>
                <c:pt idx="43">
                  <c:v>918.11674681329373</c:v>
                </c:pt>
                <c:pt idx="44">
                  <c:v>933.06564168197315</c:v>
                </c:pt>
                <c:pt idx="45">
                  <c:v>947.68302598946764</c:v>
                </c:pt>
                <c:pt idx="46">
                  <c:v>885.74771455717746</c:v>
                </c:pt>
                <c:pt idx="47">
                  <c:v>899.12347291313961</c:v>
                </c:pt>
                <c:pt idx="48">
                  <c:v>912.20209403078456</c:v>
                </c:pt>
                <c:pt idx="49">
                  <c:v>924.98781146581121</c:v>
                </c:pt>
                <c:pt idx="50">
                  <c:v>937.48501134342212</c:v>
                </c:pt>
                <c:pt idx="51">
                  <c:v>949.6982061890576</c:v>
                </c:pt>
                <c:pt idx="52">
                  <c:v>961.63201144937432</c:v>
                </c:pt>
                <c:pt idx="53">
                  <c:v>973.29112445815372</c:v>
                </c:pt>
                <c:pt idx="54">
                  <c:v>984.68030562012166</c:v>
                </c:pt>
                <c:pt idx="55">
                  <c:v>995.80436160353179</c:v>
                </c:pt>
                <c:pt idx="56">
                  <c:v>1006.6681303493801</c:v>
                </c:pt>
                <c:pt idx="57">
                  <c:v>1017.2764677214876</c:v>
                </c:pt>
                <c:pt idx="58">
                  <c:v>1027.6342356369712</c:v>
                </c:pt>
                <c:pt idx="59">
                  <c:v>1037.7462915310678</c:v>
                </c:pt>
                <c:pt idx="60">
                  <c:v>1047.6174790236453</c:v>
                </c:pt>
                <c:pt idx="61">
                  <c:v>1057.2526196671756</c:v>
                </c:pt>
                <c:pt idx="62">
                  <c:v>1066.656505667341</c:v>
                </c:pt>
                <c:pt idx="63">
                  <c:v>1075.833893478009</c:v>
                </c:pt>
                <c:pt idx="64">
                  <c:v>1084.7894981818608</c:v>
                </c:pt>
                <c:pt idx="65">
                  <c:v>1093.5279885767359</c:v>
                </c:pt>
                <c:pt idx="66">
                  <c:v>1102.0539828957105</c:v>
                </c:pt>
                <c:pt idx="67">
                  <c:v>1110.3720450961353</c:v>
                </c:pt>
                <c:pt idx="68">
                  <c:v>1118.4866816593867</c:v>
                </c:pt>
                <c:pt idx="69">
                  <c:v>1126.4023388489622</c:v>
                </c:pt>
                <c:pt idx="70">
                  <c:v>1134.1234003799025</c:v>
                </c:pt>
                <c:pt idx="71">
                  <c:v>1141.6541854572299</c:v>
                </c:pt>
                <c:pt idx="72">
                  <c:v>1148.9989471454599</c:v>
                </c:pt>
                <c:pt idx="73">
                  <c:v>1156.1618710350629</c:v>
                </c:pt>
                <c:pt idx="74">
                  <c:v>1163.1470741752223</c:v>
                </c:pt>
                <c:pt idx="75">
                  <c:v>1169.9586042453445</c:v>
                </c:pt>
                <c:pt idx="76">
                  <c:v>1176.6004389405396</c:v>
                </c:pt>
                <c:pt idx="77">
                  <c:v>1183.0764855488394</c:v>
                </c:pt>
                <c:pt idx="78">
                  <c:v>1189.3905807000701</c:v>
                </c:pt>
                <c:pt idx="79">
                  <c:v>1195.5464902683739</c:v>
                </c:pt>
                <c:pt idx="80">
                  <c:v>1201.5479094121258</c:v>
                </c:pt>
                <c:pt idx="81">
                  <c:v>1207.3984627366106</c:v>
                </c:pt>
                <c:pt idx="82">
                  <c:v>1213.101704566252</c:v>
                </c:pt>
                <c:pt idx="83">
                  <c:v>1218.6611193145111</c:v>
                </c:pt>
                <c:pt idx="84">
                  <c:v>1224.0801219406676</c:v>
                </c:pt>
                <c:pt idx="85">
                  <c:v>1229.3620584838163</c:v>
                </c:pt>
                <c:pt idx="86">
                  <c:v>1234.5102066652635</c:v>
                </c:pt>
                <c:pt idx="87">
                  <c:v>1239.5277765514074</c:v>
                </c:pt>
                <c:pt idx="88">
                  <c:v>1244.4179112699132</c:v>
                </c:pt>
                <c:pt idx="89">
                  <c:v>1249.1836877726623</c:v>
                </c:pt>
                <c:pt idx="90">
                  <c:v>1253.8281176396088</c:v>
                </c:pt>
                <c:pt idx="91">
                  <c:v>1258.3541479181697</c:v>
                </c:pt>
                <c:pt idx="92">
                  <c:v>1262.7646619933234</c:v>
                </c:pt>
                <c:pt idx="93">
                  <c:v>1267.0624804840143</c:v>
                </c:pt>
                <c:pt idx="94">
                  <c:v>1271.2503621618644</c:v>
                </c:pt>
                <c:pt idx="95">
                  <c:v>1275.3310048885899</c:v>
                </c:pt>
                <c:pt idx="96">
                  <c:v>1279.3070465687995</c:v>
                </c:pt>
                <c:pt idx="97">
                  <c:v>1283.1810661152399</c:v>
                </c:pt>
                <c:pt idx="98">
                  <c:v>1286.9555844237159</c:v>
                </c:pt>
                <c:pt idx="99">
                  <c:v>1290.6330653552702</c:v>
                </c:pt>
                <c:pt idx="100">
                  <c:v>1294.2159167233617</c:v>
                </c:pt>
                <c:pt idx="101">
                  <c:v>1297.7064912840287</c:v>
                </c:pt>
                <c:pt idx="102">
                  <c:v>1301.1070877271777</c:v>
                </c:pt>
                <c:pt idx="103">
                  <c:v>1304.4199516673457</c:v>
                </c:pt>
                <c:pt idx="104">
                  <c:v>1307.647276632428</c:v>
                </c:pt>
                <c:pt idx="105">
                  <c:v>1310.7912050489779</c:v>
                </c:pt>
                <c:pt idx="106">
                  <c:v>1313.8538292228729</c:v>
                </c:pt>
                <c:pt idx="107">
                  <c:v>1316.8371923142151</c:v>
                </c:pt>
                <c:pt idx="108">
                  <c:v>1319.7432893054508</c:v>
                </c:pt>
                <c:pt idx="109">
                  <c:v>1322.5740679618391</c:v>
                </c:pt>
                <c:pt idx="110">
                  <c:v>1325.3314297834042</c:v>
                </c:pt>
              </c:numCache>
            </c:numRef>
          </c:yVal>
          <c:smooth val="0"/>
          <c:extLst>
            <c:ext xmlns:c16="http://schemas.microsoft.com/office/drawing/2014/chart" uri="{C3380CC4-5D6E-409C-BE32-E72D297353CC}">
              <c16:uniqueId val="{00000000-5EA2-4424-98A2-EE5569CAFFD8}"/>
            </c:ext>
          </c:extLst>
        </c:ser>
        <c:ser>
          <c:idx val="4"/>
          <c:order val="4"/>
          <c:tx>
            <c:v>材積現況</c:v>
          </c:tx>
          <c:spPr>
            <a:ln>
              <a:noFill/>
            </a:ln>
          </c:spPr>
          <c:marker>
            <c:symbol val="circle"/>
            <c:size val="5"/>
            <c:spPr>
              <a:solidFill>
                <a:schemeClr val="accent4">
                  <a:lumMod val="60000"/>
                  <a:lumOff val="40000"/>
                </a:schemeClr>
              </a:solidFill>
              <a:ln>
                <a:solidFill>
                  <a:schemeClr val="accent4"/>
                </a:solidFill>
              </a:ln>
            </c:spPr>
          </c:marker>
          <c:xVal>
            <c:numRef>
              <c:f>'結果（b 間伐施業)'!$B$12</c:f>
              <c:numCache>
                <c:formatCode>General</c:formatCode>
                <c:ptCount val="1"/>
                <c:pt idx="0">
                  <c:v>10</c:v>
                </c:pt>
              </c:numCache>
            </c:numRef>
          </c:xVal>
          <c:yVal>
            <c:numRef>
              <c:f>'結果（b 間伐施業)'!$F$12</c:f>
              <c:numCache>
                <c:formatCode>0.0_ </c:formatCode>
                <c:ptCount val="1"/>
                <c:pt idx="0">
                  <c:v>102.11402709994887</c:v>
                </c:pt>
              </c:numCache>
            </c:numRef>
          </c:yVal>
          <c:smooth val="0"/>
          <c:extLst>
            <c:ext xmlns:c16="http://schemas.microsoft.com/office/drawing/2014/chart" uri="{C3380CC4-5D6E-409C-BE32-E72D297353CC}">
              <c16:uniqueId val="{00000001-5EA2-4424-98A2-EE5569CAFFD8}"/>
            </c:ext>
          </c:extLst>
        </c:ser>
        <c:ser>
          <c:idx val="5"/>
          <c:order val="5"/>
          <c:tx>
            <c:v>材積伐期</c:v>
          </c:tx>
          <c:spPr>
            <a:ln>
              <a:noFill/>
            </a:ln>
          </c:spPr>
          <c:marker>
            <c:symbol val="circle"/>
            <c:size val="5"/>
            <c:spPr>
              <a:solidFill>
                <a:schemeClr val="accent4"/>
              </a:solidFill>
              <a:ln>
                <a:solidFill>
                  <a:schemeClr val="accent4">
                    <a:lumMod val="50000"/>
                  </a:schemeClr>
                </a:solidFill>
              </a:ln>
            </c:spPr>
          </c:marker>
          <c:xVal>
            <c:numRef>
              <c:f>'結果（b 間伐施業)'!$B$42</c:f>
              <c:numCache>
                <c:formatCode>General</c:formatCode>
                <c:ptCount val="1"/>
                <c:pt idx="0">
                  <c:v>120</c:v>
                </c:pt>
              </c:numCache>
            </c:numRef>
          </c:xVal>
          <c:yVal>
            <c:numRef>
              <c:f>'結果（b 間伐施業)'!$F$42</c:f>
              <c:numCache>
                <c:formatCode>0.0_ </c:formatCode>
                <c:ptCount val="1"/>
                <c:pt idx="0">
                  <c:v>1325.3314297834042</c:v>
                </c:pt>
              </c:numCache>
            </c:numRef>
          </c:yVal>
          <c:smooth val="0"/>
          <c:extLst>
            <c:ext xmlns:c16="http://schemas.microsoft.com/office/drawing/2014/chart" uri="{C3380CC4-5D6E-409C-BE32-E72D297353CC}">
              <c16:uniqueId val="{00000002-5EA2-4424-98A2-EE5569CAFFD8}"/>
            </c:ext>
          </c:extLst>
        </c:ser>
        <c:dLbls>
          <c:showLegendKey val="0"/>
          <c:showVal val="0"/>
          <c:showCatName val="0"/>
          <c:showSerName val="0"/>
          <c:showPercent val="0"/>
          <c:showBubbleSize val="0"/>
        </c:dLbls>
        <c:axId val="914885888"/>
        <c:axId val="914886872"/>
      </c:scatterChart>
      <c:scatterChart>
        <c:scatterStyle val="lineMarker"/>
        <c:varyColors val="0"/>
        <c:ser>
          <c:idx val="0"/>
          <c:order val="0"/>
          <c:tx>
            <c:strRef>
              <c:f>'b（手動）計算用'!$I$4</c:f>
              <c:strCache>
                <c:ptCount val="1"/>
                <c:pt idx="0">
                  <c:v>直径</c:v>
                </c:pt>
              </c:strCache>
            </c:strRef>
          </c:tx>
          <c:marker>
            <c:symbol val="none"/>
          </c:marker>
          <c:xVal>
            <c:numRef>
              <c:f>'b（手動）計算用'!$D$5:$D$115</c:f>
              <c:numCache>
                <c:formatCode>General</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'b（手動）計算用'!$I$5:$I$115</c:f>
              <c:numCache>
                <c:formatCode>0.0_ </c:formatCode>
                <c:ptCount val="111"/>
                <c:pt idx="0">
                  <c:v>11.138932082557449</c:v>
                </c:pt>
                <c:pt idx="1">
                  <c:v>11.817060145244328</c:v>
                </c:pt>
                <c:pt idx="2">
                  <c:v>12.468685617754097</c:v>
                </c:pt>
                <c:pt idx="3">
                  <c:v>13.068959350969083</c:v>
                </c:pt>
                <c:pt idx="4">
                  <c:v>13.628019851557575</c:v>
                </c:pt>
                <c:pt idx="5">
                  <c:v>14.15072273584609</c:v>
                </c:pt>
                <c:pt idx="6">
                  <c:v>14.641189504521389</c:v>
                </c:pt>
                <c:pt idx="7">
                  <c:v>15.102923750828976</c:v>
                </c:pt>
                <c:pt idx="8">
                  <c:v>15.538911291599399</c:v>
                </c:pt>
                <c:pt idx="9">
                  <c:v>15.951704886413307</c:v>
                </c:pt>
                <c:pt idx="10">
                  <c:v>16.343495164728143</c:v>
                </c:pt>
                <c:pt idx="11">
                  <c:v>16.71616965714956</c:v>
                </c:pt>
                <c:pt idx="12">
                  <c:v>17.07136178153004</c:v>
                </c:pt>
                <c:pt idx="13">
                  <c:v>17.410491451585159</c:v>
                </c:pt>
                <c:pt idx="14">
                  <c:v>17.734798748539937</c:v>
                </c:pt>
                <c:pt idx="15">
                  <c:v>18.04537187006207</c:v>
                </c:pt>
                <c:pt idx="16">
                  <c:v>18.343170365246365</c:v>
                </c:pt>
                <c:pt idx="17">
                  <c:v>18.629044486580348</c:v>
                </c:pt>
                <c:pt idx="18">
                  <c:v>18.903751340169272</c:v>
                </c:pt>
                <c:pt idx="19">
                  <c:v>19.167968391684589</c:v>
                </c:pt>
                <c:pt idx="20">
                  <c:v>19.422304784112736</c:v>
                </c:pt>
                <c:pt idx="21">
                  <c:v>22.681383906608374</c:v>
                </c:pt>
                <c:pt idx="22">
                  <c:v>22.915702954956895</c:v>
                </c:pt>
                <c:pt idx="23">
                  <c:v>23.138394568573947</c:v>
                </c:pt>
                <c:pt idx="24">
                  <c:v>23.350200045834679</c:v>
                </c:pt>
                <c:pt idx="25">
                  <c:v>23.551802123586025</c:v>
                </c:pt>
                <c:pt idx="26">
                  <c:v>23.74383056364524</c:v>
                </c:pt>
                <c:pt idx="27">
                  <c:v>23.926867107614676</c:v>
                </c:pt>
                <c:pt idx="28">
                  <c:v>24.101449880652151</c:v>
                </c:pt>
                <c:pt idx="29">
                  <c:v>24.268077314147764</c:v>
                </c:pt>
                <c:pt idx="30">
                  <c:v>24.427211647899032</c:v>
                </c:pt>
                <c:pt idx="31">
                  <c:v>26.854196241330715</c:v>
                </c:pt>
                <c:pt idx="32">
                  <c:v>27.028735675627612</c:v>
                </c:pt>
                <c:pt idx="33">
                  <c:v>27.195894691971205</c:v>
                </c:pt>
                <c:pt idx="34">
                  <c:v>27.356065738259741</c:v>
                </c:pt>
                <c:pt idx="35">
                  <c:v>27.509615816911396</c:v>
                </c:pt>
                <c:pt idx="36">
                  <c:v>27.656888406806015</c:v>
                </c:pt>
                <c:pt idx="37">
                  <c:v>27.798205217339628</c:v>
                </c:pt>
                <c:pt idx="38">
                  <c:v>27.933867792113471</c:v>
                </c:pt>
                <c:pt idx="39">
                  <c:v>28.064158977577119</c:v>
                </c:pt>
                <c:pt idx="40">
                  <c:v>28.189344270051308</c:v>
                </c:pt>
                <c:pt idx="41">
                  <c:v>28.309673052928513</c:v>
                </c:pt>
                <c:pt idx="42">
                  <c:v>28.425379734450601</c:v>
                </c:pt>
                <c:pt idx="43">
                  <c:v>28.536684795261003</c:v>
                </c:pt>
                <c:pt idx="44">
                  <c:v>28.643795753893226</c:v>
                </c:pt>
                <c:pt idx="45">
                  <c:v>28.746908057465127</c:v>
                </c:pt>
                <c:pt idx="46">
                  <c:v>31.456839417259982</c:v>
                </c:pt>
                <c:pt idx="47">
                  <c:v>31.571283556232814</c:v>
                </c:pt>
                <c:pt idx="48">
                  <c:v>31.68163094721513</c:v>
                </c:pt>
                <c:pt idx="49">
                  <c:v>31.78805990137991</c:v>
                </c:pt>
                <c:pt idx="50">
                  <c:v>31.890739177455135</c:v>
                </c:pt>
                <c:pt idx="51">
                  <c:v>31.989828584030956</c:v>
                </c:pt>
                <c:pt idx="52">
                  <c:v>32.085479539893015</c:v>
                </c:pt>
                <c:pt idx="53">
                  <c:v>32.177835595479465</c:v>
                </c:pt>
                <c:pt idx="54">
                  <c:v>32.267032918314484</c:v>
                </c:pt>
                <c:pt idx="55">
                  <c:v>32.353200745050863</c:v>
                </c:pt>
                <c:pt idx="56">
                  <c:v>32.436461802551641</c:v>
                </c:pt>
                <c:pt idx="57">
                  <c:v>32.516932700258167</c:v>
                </c:pt>
                <c:pt idx="58">
                  <c:v>32.59472429592283</c:v>
                </c:pt>
                <c:pt idx="59">
                  <c:v>32.669942036629919</c:v>
                </c:pt>
                <c:pt idx="60">
                  <c:v>32.742686276885834</c:v>
                </c:pt>
                <c:pt idx="61">
                  <c:v>32.813052575428067</c:v>
                </c:pt>
                <c:pt idx="62">
                  <c:v>32.8811319722804</c:v>
                </c:pt>
                <c:pt idx="63">
                  <c:v>32.947011247470357</c:v>
                </c:pt>
                <c:pt idx="64">
                  <c:v>33.010773162719303</c:v>
                </c:pt>
                <c:pt idx="65">
                  <c:v>33.072496687320559</c:v>
                </c:pt>
                <c:pt idx="66">
                  <c:v>33.132257209330369</c:v>
                </c:pt>
                <c:pt idx="67">
                  <c:v>33.190126733114376</c:v>
                </c:pt>
                <c:pt idx="68">
                  <c:v>33.246174064215388</c:v>
                </c:pt>
                <c:pt idx="69">
                  <c:v>33.300464982436388</c:v>
                </c:pt>
                <c:pt idx="70">
                  <c:v>33.353062403968352</c:v>
                </c:pt>
                <c:pt idx="71">
                  <c:v>33.40402653332923</c:v>
                </c:pt>
                <c:pt idx="72">
                  <c:v>33.453415005825867</c:v>
                </c:pt>
                <c:pt idx="73">
                  <c:v>33.501283021197061</c:v>
                </c:pt>
                <c:pt idx="74">
                  <c:v>33.547683469047776</c:v>
                </c:pt>
                <c:pt idx="75">
                  <c:v>33.592667046640045</c:v>
                </c:pt>
                <c:pt idx="76">
                  <c:v>33.636282369563631</c:v>
                </c:pt>
                <c:pt idx="77">
                  <c:v>33.678576075772334</c:v>
                </c:pt>
                <c:pt idx="78">
                  <c:v>33.719592923435386</c:v>
                </c:pt>
                <c:pt idx="79">
                  <c:v>33.759375883020674</c:v>
                </c:pt>
                <c:pt idx="80">
                  <c:v>33.797966223996639</c:v>
                </c:pt>
                <c:pt idx="81">
                  <c:v>33.835403596511092</c:v>
                </c:pt>
                <c:pt idx="82">
                  <c:v>33.871726108379306</c:v>
                </c:pt>
                <c:pt idx="83">
                  <c:v>33.906970397690166</c:v>
                </c:pt>
                <c:pt idx="84">
                  <c:v>33.9411717013163</c:v>
                </c:pt>
                <c:pt idx="85">
                  <c:v>33.974363919594246</c:v>
                </c:pt>
                <c:pt idx="86">
                  <c:v>34.006579677421342</c:v>
                </c:pt>
                <c:pt idx="87">
                  <c:v>34.037850381998581</c:v>
                </c:pt>
                <c:pt idx="88">
                  <c:v>34.068206277432594</c:v>
                </c:pt>
                <c:pt idx="89">
                  <c:v>34.097676496394733</c:v>
                </c:pt>
                <c:pt idx="90">
                  <c:v>34.126289109021592</c:v>
                </c:pt>
                <c:pt idx="91">
                  <c:v>34.15407116922816</c:v>
                </c:pt>
                <c:pt idx="92">
                  <c:v>34.181048758593313</c:v>
                </c:pt>
                <c:pt idx="93">
                  <c:v>34.207247027966048</c:v>
                </c:pt>
                <c:pt idx="94">
                  <c:v>34.232690236930701</c:v>
                </c:pt>
                <c:pt idx="95">
                  <c:v>34.257401791260442</c:v>
                </c:pt>
                <c:pt idx="96">
                  <c:v>34.281404278478611</c:v>
                </c:pt>
                <c:pt idx="97">
                  <c:v>34.304719501640776</c:v>
                </c:pt>
                <c:pt idx="98">
                  <c:v>34.327368511441513</c:v>
                </c:pt>
                <c:pt idx="99">
                  <c:v>34.349371636743811</c:v>
                </c:pt>
                <c:pt idx="100">
                  <c:v>34.370748513622367</c:v>
                </c:pt>
                <c:pt idx="101">
                  <c:v>34.391518113005951</c:v>
                </c:pt>
                <c:pt idx="102">
                  <c:v>34.411698766998484</c:v>
                </c:pt>
                <c:pt idx="103">
                  <c:v>34.431308193953377</c:v>
                </c:pt>
                <c:pt idx="104">
                  <c:v>34.45036352237112</c:v>
                </c:pt>
                <c:pt idx="105">
                  <c:v>34.468881313684811</c:v>
                </c:pt>
                <c:pt idx="106">
                  <c:v>34.486877583995572</c:v>
                </c:pt>
                <c:pt idx="107">
                  <c:v>34.504367824814459</c:v>
                </c:pt>
                <c:pt idx="108">
                  <c:v>34.521367022865043</c:v>
                </c:pt>
                <c:pt idx="109">
                  <c:v>34.537889678996962</c:v>
                </c:pt>
                <c:pt idx="110">
                  <c:v>34.553949826257373</c:v>
                </c:pt>
              </c:numCache>
            </c:numRef>
          </c:yVal>
          <c:smooth val="0"/>
          <c:extLst>
            <c:ext xmlns:c16="http://schemas.microsoft.com/office/drawing/2014/chart" uri="{C3380CC4-5D6E-409C-BE32-E72D297353CC}">
              <c16:uniqueId val="{00000003-5EA2-4424-98A2-EE5569CAFFD8}"/>
            </c:ext>
          </c:extLst>
        </c:ser>
        <c:ser>
          <c:idx val="1"/>
          <c:order val="1"/>
          <c:tx>
            <c:v>直径現況</c:v>
          </c:tx>
          <c:spPr>
            <a:ln>
              <a:noFill/>
            </a:ln>
          </c:spPr>
          <c:marker>
            <c:symbol val="circle"/>
            <c:size val="5"/>
            <c:spPr>
              <a:solidFill>
                <a:schemeClr val="accent5">
                  <a:lumMod val="40000"/>
                  <a:lumOff val="60000"/>
                </a:schemeClr>
              </a:solidFill>
              <a:ln>
                <a:solidFill>
                  <a:schemeClr val="accent5"/>
                </a:solidFill>
              </a:ln>
            </c:spPr>
          </c:marker>
          <c:xVal>
            <c:numRef>
              <c:f>'結果（b 間伐施業)'!$B$12</c:f>
              <c:numCache>
                <c:formatCode>General</c:formatCode>
                <c:ptCount val="1"/>
                <c:pt idx="0">
                  <c:v>10</c:v>
                </c:pt>
              </c:numCache>
            </c:numRef>
          </c:xVal>
          <c:yVal>
            <c:numRef>
              <c:f>'結果（b 間伐施業)'!$D$12</c:f>
              <c:numCache>
                <c:formatCode>0.0_ </c:formatCode>
                <c:ptCount val="1"/>
                <c:pt idx="0">
                  <c:v>11.133365069221741</c:v>
                </c:pt>
              </c:numCache>
            </c:numRef>
          </c:yVal>
          <c:smooth val="0"/>
          <c:extLst>
            <c:ext xmlns:c16="http://schemas.microsoft.com/office/drawing/2014/chart" uri="{C3380CC4-5D6E-409C-BE32-E72D297353CC}">
              <c16:uniqueId val="{00000004-5EA2-4424-98A2-EE5569CAFFD8}"/>
            </c:ext>
          </c:extLst>
        </c:ser>
        <c:ser>
          <c:idx val="2"/>
          <c:order val="2"/>
          <c:tx>
            <c:v>直径伐期</c:v>
          </c:tx>
          <c:spPr>
            <a:ln>
              <a:noFill/>
            </a:ln>
          </c:spPr>
          <c:marker>
            <c:symbol val="circle"/>
            <c:size val="5"/>
            <c:spPr>
              <a:solidFill>
                <a:schemeClr val="accent5">
                  <a:lumMod val="75000"/>
                </a:schemeClr>
              </a:solidFill>
              <a:ln>
                <a:solidFill>
                  <a:schemeClr val="accent5">
                    <a:lumMod val="50000"/>
                  </a:schemeClr>
                </a:solidFill>
              </a:ln>
            </c:spPr>
          </c:marker>
          <c:xVal>
            <c:numRef>
              <c:f>'結果（b 間伐施業)'!$B$42</c:f>
              <c:numCache>
                <c:formatCode>General</c:formatCode>
                <c:ptCount val="1"/>
                <c:pt idx="0">
                  <c:v>120</c:v>
                </c:pt>
              </c:numCache>
            </c:numRef>
          </c:xVal>
          <c:yVal>
            <c:numRef>
              <c:f>'結果（b 間伐施業)'!$D$42</c:f>
              <c:numCache>
                <c:formatCode>0.0_ </c:formatCode>
                <c:ptCount val="1"/>
                <c:pt idx="0">
                  <c:v>34.553949826257373</c:v>
                </c:pt>
              </c:numCache>
            </c:numRef>
          </c:yVal>
          <c:smooth val="0"/>
          <c:extLst>
            <c:ext xmlns:c16="http://schemas.microsoft.com/office/drawing/2014/chart" uri="{C3380CC4-5D6E-409C-BE32-E72D297353CC}">
              <c16:uniqueId val="{00000005-5EA2-4424-98A2-EE5569CAFFD8}"/>
            </c:ext>
          </c:extLst>
        </c:ser>
        <c:dLbls>
          <c:showLegendKey val="0"/>
          <c:showVal val="0"/>
          <c:showCatName val="0"/>
          <c:showSerName val="0"/>
          <c:showPercent val="0"/>
          <c:showBubbleSize val="0"/>
        </c:dLbls>
        <c:axId val="861355672"/>
        <c:axId val="861359936"/>
      </c:scatterChart>
      <c:valAx>
        <c:axId val="914885888"/>
        <c:scaling>
          <c:orientation val="minMax"/>
        </c:scaling>
        <c:delete val="0"/>
        <c:axPos val="b"/>
        <c:majorGridlines>
          <c:spPr>
            <a:ln w="9525" cap="flat" cmpd="sng" algn="ctr">
              <a:solidFill>
                <a:schemeClr val="tx1">
                  <a:lumMod val="15000"/>
                  <a:lumOff val="85000"/>
                </a:schemeClr>
              </a:solidFill>
              <a:round/>
            </a:ln>
            <a:effectLst/>
          </c:spPr>
        </c:majorGridlines>
        <c:title>
          <c:tx>
            <c:rich>
              <a:bodyPr/>
              <a:lstStyle/>
              <a:p>
                <a:pPr>
                  <a:defRPr/>
                </a:pPr>
                <a:r>
                  <a:rPr lang="ja-JP" altLang="en-US"/>
                  <a:t>林齢（年生）</a:t>
                </a:r>
              </a:p>
            </c:rich>
          </c:tx>
          <c:layout/>
          <c:overlay val="0"/>
        </c:title>
        <c:numFmt formatCode="General" sourceLinked="1"/>
        <c:majorTickMark val="none"/>
        <c:minorTickMark val="none"/>
        <c:tickLblPos val="nextTo"/>
        <c:spPr>
          <a:noFill/>
          <a:ln w="9525" cap="flat" cmpd="sng" algn="ctr">
            <a:solidFill>
              <a:sysClr val="windowText" lastClr="000000"/>
            </a:solidFill>
            <a:round/>
          </a:ln>
          <a:effectLst/>
        </c:spPr>
        <c:txPr>
          <a:bodyPr rot="-60000000" vert="horz"/>
          <a:lstStyle/>
          <a:p>
            <a:pPr>
              <a:defRPr/>
            </a:pPr>
            <a:endParaRPr lang="ja-JP"/>
          </a:p>
        </c:txPr>
        <c:crossAx val="914886872"/>
        <c:crosses val="autoZero"/>
        <c:crossBetween val="midCat"/>
        <c:majorUnit val="10"/>
      </c:valAx>
      <c:valAx>
        <c:axId val="914886872"/>
        <c:scaling>
          <c:orientation val="minMax"/>
          <c:max val="2000"/>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en-US" altLang="ja-JP"/>
                  <a:t>ha</a:t>
                </a:r>
                <a:r>
                  <a:rPr lang="ja-JP" altLang="en-US"/>
                  <a:t>あたり材積（</a:t>
                </a:r>
                <a:r>
                  <a:rPr lang="en-US" altLang="ja-JP"/>
                  <a:t>m</a:t>
                </a:r>
                <a:r>
                  <a:rPr lang="en-US" altLang="ja-JP" baseline="30000"/>
                  <a:t>3</a:t>
                </a:r>
                <a:r>
                  <a:rPr lang="en-US" altLang="ja-JP"/>
                  <a:t>/ha</a:t>
                </a:r>
                <a:r>
                  <a:rPr lang="ja-JP" altLang="en-US"/>
                  <a:t>）</a:t>
                </a:r>
              </a:p>
            </c:rich>
          </c:tx>
          <c:layout/>
          <c:overlay val="0"/>
        </c:title>
        <c:numFmt formatCode="#,##0_ " sourceLinked="0"/>
        <c:majorTickMark val="none"/>
        <c:minorTickMark val="none"/>
        <c:tickLblPos val="nextTo"/>
        <c:spPr>
          <a:noFill/>
          <a:ln w="9525" cap="flat" cmpd="sng" algn="ctr">
            <a:solidFill>
              <a:sysClr val="windowText" lastClr="000000"/>
            </a:solidFill>
            <a:round/>
          </a:ln>
          <a:effectLst/>
        </c:spPr>
        <c:txPr>
          <a:bodyPr rot="-60000000" vert="horz"/>
          <a:lstStyle/>
          <a:p>
            <a:pPr>
              <a:defRPr/>
            </a:pPr>
            <a:endParaRPr lang="ja-JP"/>
          </a:p>
        </c:txPr>
        <c:crossAx val="914885888"/>
        <c:crosses val="autoZero"/>
        <c:crossBetween val="midCat"/>
        <c:majorUnit val="200"/>
      </c:valAx>
      <c:valAx>
        <c:axId val="861359936"/>
        <c:scaling>
          <c:orientation val="minMax"/>
          <c:max val="70"/>
        </c:scaling>
        <c:delete val="0"/>
        <c:axPos val="r"/>
        <c:title>
          <c:tx>
            <c:rich>
              <a:bodyPr/>
              <a:lstStyle/>
              <a:p>
                <a:pPr>
                  <a:defRPr/>
                </a:pPr>
                <a:r>
                  <a:rPr lang="ja-JP" altLang="en-US"/>
                  <a:t>胸高直径（</a:t>
                </a:r>
                <a:r>
                  <a:rPr lang="en-US" altLang="ja-JP"/>
                  <a:t>cm</a:t>
                </a:r>
                <a:r>
                  <a:rPr lang="ja-JP" altLang="en-US"/>
                  <a:t>）</a:t>
                </a:r>
              </a:p>
            </c:rich>
          </c:tx>
          <c:layout>
            <c:manualLayout>
              <c:xMode val="edge"/>
              <c:yMode val="edge"/>
              <c:x val="0.93758080239969999"/>
              <c:y val="0.28286769709341886"/>
            </c:manualLayout>
          </c:layout>
          <c:overlay val="0"/>
        </c:title>
        <c:numFmt formatCode="0_ " sourceLinked="0"/>
        <c:majorTickMark val="out"/>
        <c:minorTickMark val="none"/>
        <c:tickLblPos val="nextTo"/>
        <c:crossAx val="861355672"/>
        <c:crosses val="max"/>
        <c:crossBetween val="midCat"/>
      </c:valAx>
      <c:valAx>
        <c:axId val="861355672"/>
        <c:scaling>
          <c:orientation val="minMax"/>
        </c:scaling>
        <c:delete val="1"/>
        <c:axPos val="b"/>
        <c:numFmt formatCode="General" sourceLinked="1"/>
        <c:majorTickMark val="out"/>
        <c:minorTickMark val="none"/>
        <c:tickLblPos val="nextTo"/>
        <c:crossAx val="861359936"/>
        <c:crosses val="autoZero"/>
        <c:crossBetween val="midCat"/>
      </c:valAx>
      <c:spPr>
        <a:ln>
          <a:solidFill>
            <a:schemeClr val="tx1"/>
          </a:solidFill>
        </a:ln>
      </c:spPr>
    </c:plotArea>
    <c:legend>
      <c:legendPos val="r"/>
      <c:legendEntry>
        <c:idx val="1"/>
        <c:delete val="1"/>
      </c:legendEntry>
      <c:legendEntry>
        <c:idx val="2"/>
        <c:delete val="1"/>
      </c:legendEntry>
      <c:legendEntry>
        <c:idx val="4"/>
        <c:delete val="1"/>
      </c:legendEntry>
      <c:legendEntry>
        <c:idx val="5"/>
        <c:delete val="1"/>
      </c:legendEntry>
      <c:layout>
        <c:manualLayout>
          <c:xMode val="edge"/>
          <c:yMode val="edge"/>
          <c:x val="0.21142857142857144"/>
          <c:y val="0.15761106250607562"/>
          <c:w val="0.23251443569553809"/>
          <c:h val="0.19342373869932925"/>
        </c:manualLayout>
      </c:layout>
      <c:overlay val="0"/>
      <c:spPr>
        <a:solidFill>
          <a:schemeClr val="bg1"/>
        </a:solidFill>
        <a:ln>
          <a:solidFill>
            <a:sysClr val="windowText" lastClr="000000"/>
          </a:solidFill>
        </a:ln>
      </c:spPr>
    </c:legend>
    <c:plotVisOnly val="1"/>
    <c:dispBlanksAs val="gap"/>
    <c:showDLblsOverMax val="0"/>
  </c:chart>
  <c:spPr>
    <a:ln>
      <a:noFill/>
    </a:ln>
  </c:spPr>
  <c:txPr>
    <a:bodyPr/>
    <a:lstStyle/>
    <a:p>
      <a:pPr>
        <a:defRPr sz="800"/>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樹高</a:t>
            </a:r>
            <a:endParaRPr lang="en-US" altLang="ja-JP"/>
          </a:p>
        </c:rich>
      </c:tx>
      <c:layout>
        <c:manualLayout>
          <c:xMode val="edge"/>
          <c:yMode val="edge"/>
          <c:x val="0.47066666666666668"/>
          <c:y val="0"/>
        </c:manualLayout>
      </c:layout>
      <c:overlay val="0"/>
      <c:spPr>
        <a:noFill/>
        <a:ln>
          <a:noFill/>
        </a:ln>
        <a:effectLst/>
      </c:spPr>
    </c:title>
    <c:autoTitleDeleted val="0"/>
    <c:plotArea>
      <c:layout>
        <c:manualLayout>
          <c:layoutTarget val="inner"/>
          <c:xMode val="edge"/>
          <c:yMode val="edge"/>
          <c:x val="5.465718846999796E-2"/>
          <c:y val="9.1992885015109244E-2"/>
          <c:w val="0.90049254152509284"/>
          <c:h val="0.82443597874814123"/>
        </c:manualLayout>
      </c:layout>
      <c:scatterChart>
        <c:scatterStyle val="lineMarker"/>
        <c:varyColors val="0"/>
        <c:ser>
          <c:idx val="0"/>
          <c:order val="0"/>
          <c:spPr>
            <a:ln>
              <a:solidFill>
                <a:schemeClr val="accent2"/>
              </a:solidFill>
            </a:ln>
          </c:spPr>
          <c:marker>
            <c:symbol val="none"/>
          </c:marker>
          <c:xVal>
            <c:numRef>
              <c:f>'b（手動）計算用'!$D$5:$D$115</c:f>
              <c:numCache>
                <c:formatCode>General</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'b（手動）計算用'!$G$5:$G$115</c:f>
              <c:numCache>
                <c:formatCode>0.0_ </c:formatCode>
                <c:ptCount val="111"/>
                <c:pt idx="0">
                  <c:v>7.005377668918638</c:v>
                </c:pt>
                <c:pt idx="1">
                  <c:v>7.6866187767008665</c:v>
                </c:pt>
                <c:pt idx="2">
                  <c:v>8.3560214438217386</c:v>
                </c:pt>
                <c:pt idx="3">
                  <c:v>9.0132564321920068</c:v>
                </c:pt>
                <c:pt idx="4">
                  <c:v>9.6580943635452208</c:v>
                </c:pt>
                <c:pt idx="5">
                  <c:v>10.290382189294702</c:v>
                </c:pt>
                <c:pt idx="6">
                  <c:v>10.910026199109787</c:v>
                </c:pt>
                <c:pt idx="7">
                  <c:v>11.516979531457144</c:v>
                </c:pt>
                <c:pt idx="8">
                  <c:v>12.111232869455735</c:v>
                </c:pt>
                <c:pt idx="9">
                  <c:v>12.692807439777415</c:v>
                </c:pt>
                <c:pt idx="10">
                  <c:v>13.261749704127018</c:v>
                </c:pt>
                <c:pt idx="11">
                  <c:v>13.818127308626075</c:v>
                </c:pt>
                <c:pt idx="12">
                  <c:v>14.362025973710765</c:v>
                </c:pt>
                <c:pt idx="13">
                  <c:v>14.893547087821741</c:v>
                </c:pt>
                <c:pt idx="14">
                  <c:v>15.412805825357026</c:v>
                </c:pt>
                <c:pt idx="15">
                  <c:v>15.919929651162615</c:v>
                </c:pt>
                <c:pt idx="16">
                  <c:v>16.415057105306442</c:v>
                </c:pt>
                <c:pt idx="17">
                  <c:v>16.898336786226629</c:v>
                </c:pt>
                <c:pt idx="18">
                  <c:v>17.369926469612402</c:v>
                </c:pt>
                <c:pt idx="19">
                  <c:v>17.829992315883583</c:v>
                </c:pt>
                <c:pt idx="20">
                  <c:v>18.278708131736447</c:v>
                </c:pt>
                <c:pt idx="21">
                  <c:v>18.716254661483859</c:v>
                </c:pt>
                <c:pt idx="22">
                  <c:v>19.142818892220774</c:v>
                </c:pt>
                <c:pt idx="23">
                  <c:v>19.558593363470184</c:v>
                </c:pt>
                <c:pt idx="24">
                  <c:v>19.963775477128916</c:v>
                </c:pt>
                <c:pt idx="25">
                  <c:v>20.358566807421841</c:v>
                </c:pt>
                <c:pt idx="26">
                  <c:v>20.743172413359066</c:v>
                </c:pt>
                <c:pt idx="27">
                  <c:v>21.117800158034136</c:v>
                </c:pt>
                <c:pt idx="28">
                  <c:v>21.482660040158859</c:v>
                </c:pt>
                <c:pt idx="29">
                  <c:v>21.837963543650535</c:v>
                </c:pt>
                <c:pt idx="30">
                  <c:v>22.183923011010634</c:v>
                </c:pt>
                <c:pt idx="31">
                  <c:v>22.520751045788124</c:v>
                </c:pt>
                <c:pt idx="32">
                  <c:v>22.848659948719757</c:v>
                </c:pt>
                <c:pt idx="33">
                  <c:v>23.167861191282384</c:v>
                </c:pt>
                <c:pt idx="34">
                  <c:v>23.478564929459516</c:v>
                </c:pt>
                <c:pt idx="35">
                  <c:v>23.780979559582203</c:v>
                </c:pt>
                <c:pt idx="36">
                  <c:v>24.075311317201503</c:v>
                </c:pt>
                <c:pt idx="37">
                  <c:v>24.361763919122062</c:v>
                </c:pt>
                <c:pt idx="38">
                  <c:v>24.64053824799684</c:v>
                </c:pt>
                <c:pt idx="39">
                  <c:v>24.911832078263824</c:v>
                </c:pt>
                <c:pt idx="40">
                  <c:v>25.175839841701567</c:v>
                </c:pt>
                <c:pt idx="41">
                  <c:v>25.432752430488847</c:v>
                </c:pt>
                <c:pt idx="42">
                  <c:v>25.682757035368347</c:v>
                </c:pt>
                <c:pt idx="43">
                  <c:v>25.926037016324717</c:v>
                </c:pt>
                <c:pt idx="44">
                  <c:v>26.162771803082592</c:v>
                </c:pt>
                <c:pt idx="45">
                  <c:v>26.393136822696903</c:v>
                </c:pt>
                <c:pt idx="46">
                  <c:v>26.617303451534312</c:v>
                </c:pt>
                <c:pt idx="47">
                  <c:v>26.835438989018716</c:v>
                </c:pt>
                <c:pt idx="48">
                  <c:v>27.047706650624068</c:v>
                </c:pt>
                <c:pt idx="49">
                  <c:v>27.25426557773557</c:v>
                </c:pt>
                <c:pt idx="50">
                  <c:v>27.455270862155562</c:v>
                </c:pt>
                <c:pt idx="51">
                  <c:v>27.650873583197519</c:v>
                </c:pt>
                <c:pt idx="52">
                  <c:v>27.841220855483183</c:v>
                </c:pt>
                <c:pt idx="53">
                  <c:v>28.026455885730172</c:v>
                </c:pt>
                <c:pt idx="54">
                  <c:v>28.206718036985855</c:v>
                </c:pt>
                <c:pt idx="55">
                  <c:v>28.382142898926077</c:v>
                </c:pt>
                <c:pt idx="56">
                  <c:v>28.552862362990862</c:v>
                </c:pt>
                <c:pt idx="57">
                  <c:v>28.719004701274081</c:v>
                </c:pt>
                <c:pt idx="58">
                  <c:v>28.880694648217556</c:v>
                </c:pt>
                <c:pt idx="59">
                  <c:v>29.038053484283193</c:v>
                </c:pt>
                <c:pt idx="60">
                  <c:v>29.191199120888513</c:v>
                </c:pt>
                <c:pt idx="61">
                  <c:v>29.340246185992296</c:v>
                </c:pt>
                <c:pt idx="62">
                  <c:v>29.485306109807635</c:v>
                </c:pt>
                <c:pt idx="63">
                  <c:v>29.62648721020097</c:v>
                </c:pt>
                <c:pt idx="64">
                  <c:v>29.763894777407348</c:v>
                </c:pt>
                <c:pt idx="65">
                  <c:v>29.897631157755349</c:v>
                </c:pt>
                <c:pt idx="66">
                  <c:v>30.027795836151071</c:v>
                </c:pt>
                <c:pt idx="67">
                  <c:v>30.154485517118435</c:v>
                </c:pt>
                <c:pt idx="68">
                  <c:v>30.277794204235548</c:v>
                </c:pt>
                <c:pt idx="69">
                  <c:v>30.397813277842882</c:v>
                </c:pt>
                <c:pt idx="70">
                  <c:v>30.514631570930302</c:v>
                </c:pt>
                <c:pt idx="71">
                  <c:v>30.628335443136372</c:v>
                </c:pt>
                <c:pt idx="72">
                  <c:v>30.739008852816088</c:v>
                </c:pt>
                <c:pt idx="73">
                  <c:v>30.846733427152206</c:v>
                </c:pt>
                <c:pt idx="74">
                  <c:v>30.951588530301056</c:v>
                </c:pt>
                <c:pt idx="75">
                  <c:v>31.053651329577239</c:v>
                </c:pt>
                <c:pt idx="76">
                  <c:v>31.152996859692191</c:v>
                </c:pt>
                <c:pt idx="77">
                  <c:v>31.249698085070811</c:v>
                </c:pt>
                <c:pt idx="78">
                  <c:v>31.34382596027713</c:v>
                </c:pt>
                <c:pt idx="79">
                  <c:v>31.435449488585853</c:v>
                </c:pt>
                <c:pt idx="80">
                  <c:v>31.52463577874099</c:v>
                </c:pt>
                <c:pt idx="81">
                  <c:v>31.611450099945927</c:v>
                </c:pt>
                <c:pt idx="82">
                  <c:v>31.695955935131838</c:v>
                </c:pt>
                <c:pt idx="83">
                  <c:v>31.778215032552865</c:v>
                </c:pt>
                <c:pt idx="84">
                  <c:v>31.858287455757491</c:v>
                </c:pt>
                <c:pt idx="85">
                  <c:v>31.936231631986093</c:v>
                </c:pt>
                <c:pt idx="86">
                  <c:v>32.012104399044432</c:v>
                </c:pt>
                <c:pt idx="87">
                  <c:v>32.085961050702814</c:v>
                </c:pt>
                <c:pt idx="88">
                  <c:v>32.157855380669837</c:v>
                </c:pt>
                <c:pt idx="89">
                  <c:v>32.227839725188701</c:v>
                </c:pt>
                <c:pt idx="90">
                  <c:v>32.295965004303454</c:v>
                </c:pt>
                <c:pt idx="91">
                  <c:v>32.362280761840779</c:v>
                </c:pt>
                <c:pt idx="92">
                  <c:v>32.426835204152212</c:v>
                </c:pt>
                <c:pt idx="93">
                  <c:v>32.489675237659988</c:v>
                </c:pt>
                <c:pt idx="94">
                  <c:v>32.550846505248529</c:v>
                </c:pt>
                <c:pt idx="95">
                  <c:v>32.610393421542035</c:v>
                </c:pt>
                <c:pt idx="96">
                  <c:v>32.668359207107322</c:v>
                </c:pt>
                <c:pt idx="97">
                  <c:v>32.724785921619691</c:v>
                </c:pt>
                <c:pt idx="98">
                  <c:v>32.779714496027857</c:v>
                </c:pt>
                <c:pt idx="99">
                  <c:v>32.833184763753202</c:v>
                </c:pt>
                <c:pt idx="100">
                  <c:v>32.885235490956617</c:v>
                </c:pt>
                <c:pt idx="101">
                  <c:v>32.935904405905355</c:v>
                </c:pt>
                <c:pt idx="102">
                  <c:v>32.985228227470728</c:v>
                </c:pt>
                <c:pt idx="103">
                  <c:v>33.033242692786509</c:v>
                </c:pt>
                <c:pt idx="104">
                  <c:v>33.079982584096534</c:v>
                </c:pt>
                <c:pt idx="105">
                  <c:v>33.1254817548188</c:v>
                </c:pt>
                <c:pt idx="106">
                  <c:v>33.169773154852507</c:v>
                </c:pt>
                <c:pt idx="107">
                  <c:v>33.212888855153139</c:v>
                </c:pt>
                <c:pt idx="108">
                  <c:v>33.254860071599857</c:v>
                </c:pt>
                <c:pt idx="109">
                  <c:v>33.295717188178457</c:v>
                </c:pt>
                <c:pt idx="110">
                  <c:v>33.335489779502211</c:v>
                </c:pt>
              </c:numCache>
            </c:numRef>
          </c:yVal>
          <c:smooth val="0"/>
          <c:extLst>
            <c:ext xmlns:c16="http://schemas.microsoft.com/office/drawing/2014/chart" uri="{C3380CC4-5D6E-409C-BE32-E72D297353CC}">
              <c16:uniqueId val="{00000000-E553-4DE5-9912-88C9397D6095}"/>
            </c:ext>
          </c:extLst>
        </c:ser>
        <c:dLbls>
          <c:showLegendKey val="0"/>
          <c:showVal val="0"/>
          <c:showCatName val="0"/>
          <c:showSerName val="0"/>
          <c:showPercent val="0"/>
          <c:showBubbleSize val="0"/>
        </c:dLbls>
        <c:axId val="914885888"/>
        <c:axId val="914886872"/>
      </c:scatterChart>
      <c:valAx>
        <c:axId val="914885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6872"/>
        <c:crosses val="autoZero"/>
        <c:crossBetween val="midCat"/>
        <c:majorUnit val="10"/>
      </c:valAx>
      <c:valAx>
        <c:axId val="914886872"/>
        <c:scaling>
          <c:orientation val="minMax"/>
          <c:max val="5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5888"/>
        <c:crosses val="autoZero"/>
        <c:crossBetween val="midCat"/>
        <c:majorUnit val="10"/>
      </c:valAx>
      <c:spPr>
        <a:ln>
          <a:solidFill>
            <a:schemeClr val="tx1"/>
          </a:solidFill>
        </a:ln>
      </c:spPr>
    </c:plotArea>
    <c:plotVisOnly val="1"/>
    <c:dispBlanksAs val="gap"/>
    <c:showDLblsOverMax val="0"/>
  </c:chart>
  <c:spPr>
    <a:ln>
      <a:noFill/>
    </a:ln>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直径</a:t>
            </a:r>
            <a:endParaRPr lang="en-US" altLang="ja-JP"/>
          </a:p>
        </c:rich>
      </c:tx>
      <c:layout>
        <c:manualLayout>
          <c:xMode val="edge"/>
          <c:yMode val="edge"/>
          <c:x val="0.47066666666666668"/>
          <c:y val="0"/>
        </c:manualLayout>
      </c:layout>
      <c:overlay val="0"/>
      <c:spPr>
        <a:noFill/>
        <a:ln>
          <a:noFill/>
        </a:ln>
        <a:effectLst/>
      </c:spPr>
    </c:title>
    <c:autoTitleDeleted val="0"/>
    <c:plotArea>
      <c:layout>
        <c:manualLayout>
          <c:layoutTarget val="inner"/>
          <c:xMode val="edge"/>
          <c:yMode val="edge"/>
          <c:x val="5.465718846999796E-2"/>
          <c:y val="9.1992885015109244E-2"/>
          <c:w val="0.90049254152509284"/>
          <c:h val="0.82443597874814123"/>
        </c:manualLayout>
      </c:layout>
      <c:scatterChart>
        <c:scatterStyle val="lineMarker"/>
        <c:varyColors val="0"/>
        <c:ser>
          <c:idx val="1"/>
          <c:order val="0"/>
          <c:tx>
            <c:v>条件①</c:v>
          </c:tx>
          <c:marker>
            <c:symbol val="none"/>
          </c:marker>
          <c:xVal>
            <c:numRef>
              <c:f>'b（手動）計算用'!$E$121:$E$143</c:f>
              <c:numCache>
                <c:formatCode>0_ </c:formatCode>
                <c:ptCount val="23"/>
                <c:pt idx="0">
                  <c:v>10</c:v>
                </c:pt>
                <c:pt idx="1">
                  <c:v>15</c:v>
                </c:pt>
                <c:pt idx="2">
                  <c:v>20</c:v>
                </c:pt>
                <c:pt idx="3">
                  <c:v>25</c:v>
                </c:pt>
                <c:pt idx="4">
                  <c:v>30</c:v>
                </c:pt>
                <c:pt idx="5">
                  <c:v>35</c:v>
                </c:pt>
                <c:pt idx="6">
                  <c:v>40</c:v>
                </c:pt>
                <c:pt idx="7">
                  <c:v>45</c:v>
                </c:pt>
                <c:pt idx="8">
                  <c:v>50</c:v>
                </c:pt>
                <c:pt idx="9">
                  <c:v>55</c:v>
                </c:pt>
                <c:pt idx="10">
                  <c:v>60</c:v>
                </c:pt>
                <c:pt idx="11">
                  <c:v>65</c:v>
                </c:pt>
                <c:pt idx="12">
                  <c:v>70</c:v>
                </c:pt>
                <c:pt idx="13">
                  <c:v>75</c:v>
                </c:pt>
                <c:pt idx="14">
                  <c:v>80</c:v>
                </c:pt>
                <c:pt idx="15">
                  <c:v>85</c:v>
                </c:pt>
                <c:pt idx="16">
                  <c:v>90</c:v>
                </c:pt>
                <c:pt idx="17">
                  <c:v>95</c:v>
                </c:pt>
                <c:pt idx="18">
                  <c:v>100</c:v>
                </c:pt>
                <c:pt idx="19">
                  <c:v>105</c:v>
                </c:pt>
                <c:pt idx="20">
                  <c:v>110</c:v>
                </c:pt>
                <c:pt idx="21">
                  <c:v>115</c:v>
                </c:pt>
                <c:pt idx="22">
                  <c:v>120</c:v>
                </c:pt>
              </c:numCache>
            </c:numRef>
          </c:xVal>
          <c:yVal>
            <c:numRef>
              <c:f>'b（手動）計算用'!$I$121:$I$143</c:f>
              <c:numCache>
                <c:formatCode>0.0_ </c:formatCode>
                <c:ptCount val="23"/>
                <c:pt idx="0">
                  <c:v>11.138932082557449</c:v>
                </c:pt>
                <c:pt idx="1">
                  <c:v>14.15072273584609</c:v>
                </c:pt>
                <c:pt idx="2">
                  <c:v>16.343495164728143</c:v>
                </c:pt>
                <c:pt idx="3">
                  <c:v>18.04537187006207</c:v>
                </c:pt>
                <c:pt idx="4">
                  <c:v>19.422304784112736</c:v>
                </c:pt>
                <c:pt idx="5">
                  <c:v>23.551802123586025</c:v>
                </c:pt>
                <c:pt idx="6">
                  <c:v>24.427211647899032</c:v>
                </c:pt>
                <c:pt idx="7">
                  <c:v>27.509615816911396</c:v>
                </c:pt>
                <c:pt idx="8">
                  <c:v>28.189344270051308</c:v>
                </c:pt>
                <c:pt idx="9">
                  <c:v>28.746908057465127</c:v>
                </c:pt>
                <c:pt idx="10">
                  <c:v>31.890739177455135</c:v>
                </c:pt>
                <c:pt idx="11">
                  <c:v>32.353200745050863</c:v>
                </c:pt>
                <c:pt idx="12">
                  <c:v>32.742686276885834</c:v>
                </c:pt>
                <c:pt idx="13">
                  <c:v>33.072496687320559</c:v>
                </c:pt>
                <c:pt idx="14">
                  <c:v>33.353062403968352</c:v>
                </c:pt>
                <c:pt idx="15">
                  <c:v>33.592667046640045</c:v>
                </c:pt>
                <c:pt idx="16">
                  <c:v>33.797966223996639</c:v>
                </c:pt>
                <c:pt idx="17">
                  <c:v>33.974363919594246</c:v>
                </c:pt>
                <c:pt idx="18">
                  <c:v>34.126289109021592</c:v>
                </c:pt>
                <c:pt idx="19">
                  <c:v>34.257401791260442</c:v>
                </c:pt>
                <c:pt idx="20">
                  <c:v>34.370748513622367</c:v>
                </c:pt>
                <c:pt idx="21">
                  <c:v>34.468881313684811</c:v>
                </c:pt>
                <c:pt idx="22">
                  <c:v>34.553949826257373</c:v>
                </c:pt>
              </c:numCache>
            </c:numRef>
          </c:yVal>
          <c:smooth val="0"/>
          <c:extLst>
            <c:ext xmlns:c16="http://schemas.microsoft.com/office/drawing/2014/chart" uri="{C3380CC4-5D6E-409C-BE32-E72D297353CC}">
              <c16:uniqueId val="{00000000-B8ED-45D5-83CD-51234E3A2776}"/>
            </c:ext>
          </c:extLst>
        </c:ser>
        <c:dLbls>
          <c:showLegendKey val="0"/>
          <c:showVal val="0"/>
          <c:showCatName val="0"/>
          <c:showSerName val="0"/>
          <c:showPercent val="0"/>
          <c:showBubbleSize val="0"/>
        </c:dLbls>
        <c:axId val="914885888"/>
        <c:axId val="914886872"/>
      </c:scatterChart>
      <c:valAx>
        <c:axId val="914885888"/>
        <c:scaling>
          <c:orientation val="minMax"/>
        </c:scaling>
        <c:delete val="0"/>
        <c:axPos val="b"/>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6872"/>
        <c:crosses val="autoZero"/>
        <c:crossBetween val="midCat"/>
        <c:majorUnit val="10"/>
      </c:valAx>
      <c:valAx>
        <c:axId val="914886872"/>
        <c:scaling>
          <c:orientation val="minMax"/>
          <c:max val="7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5888"/>
        <c:crosses val="autoZero"/>
        <c:crossBetween val="midCat"/>
        <c:majorUnit val="10"/>
      </c:valAx>
      <c:spPr>
        <a:ln>
          <a:solidFill>
            <a:schemeClr val="tx1"/>
          </a:solidFill>
        </a:ln>
      </c:spPr>
    </c:plotArea>
    <c:plotVisOnly val="1"/>
    <c:dispBlanksAs val="gap"/>
    <c:showDLblsOverMax val="0"/>
  </c:chart>
  <c:spPr>
    <a:ln>
      <a:noFill/>
    </a:ln>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ja-JP"/>
              <a:t>直径</a:t>
            </a:r>
            <a:endParaRPr lang="en-US"/>
          </a:p>
        </c:rich>
      </c:tx>
      <c:layout>
        <c:manualLayout>
          <c:xMode val="edge"/>
          <c:yMode val="edge"/>
          <c:x val="0.47066666666666668"/>
          <c:y val="0"/>
        </c:manualLayout>
      </c:layout>
      <c:overlay val="0"/>
      <c:spPr>
        <a:noFill/>
        <a:ln>
          <a:noFill/>
        </a:ln>
        <a:effectLst/>
      </c:spPr>
    </c:title>
    <c:autoTitleDeleted val="0"/>
    <c:plotArea>
      <c:layout>
        <c:manualLayout>
          <c:layoutTarget val="inner"/>
          <c:xMode val="edge"/>
          <c:yMode val="edge"/>
          <c:x val="9.1683430082188641E-2"/>
          <c:y val="0.10248286128413053"/>
          <c:w val="0.90049254152509284"/>
          <c:h val="0.76243036784581031"/>
        </c:manualLayout>
      </c:layout>
      <c:scatterChart>
        <c:scatterStyle val="lineMarker"/>
        <c:varyColors val="0"/>
        <c:ser>
          <c:idx val="0"/>
          <c:order val="0"/>
          <c:tx>
            <c:v>自動</c:v>
          </c:tx>
          <c:marker>
            <c:symbol val="none"/>
          </c:marker>
          <c:xVal>
            <c:numRef>
              <c:f>'a（自動）計算用'!$E$121:$E$143</c:f>
              <c:numCache>
                <c:formatCode>0_ </c:formatCode>
                <c:ptCount val="23"/>
                <c:pt idx="0">
                  <c:v>10</c:v>
                </c:pt>
                <c:pt idx="1">
                  <c:v>15</c:v>
                </c:pt>
                <c:pt idx="2">
                  <c:v>20</c:v>
                </c:pt>
                <c:pt idx="3">
                  <c:v>25</c:v>
                </c:pt>
                <c:pt idx="4">
                  <c:v>30</c:v>
                </c:pt>
                <c:pt idx="5">
                  <c:v>35</c:v>
                </c:pt>
                <c:pt idx="6">
                  <c:v>40</c:v>
                </c:pt>
                <c:pt idx="7">
                  <c:v>45</c:v>
                </c:pt>
                <c:pt idx="8">
                  <c:v>50</c:v>
                </c:pt>
                <c:pt idx="9">
                  <c:v>55</c:v>
                </c:pt>
                <c:pt idx="10">
                  <c:v>60</c:v>
                </c:pt>
                <c:pt idx="11">
                  <c:v>65</c:v>
                </c:pt>
                <c:pt idx="12">
                  <c:v>70</c:v>
                </c:pt>
                <c:pt idx="13">
                  <c:v>75</c:v>
                </c:pt>
                <c:pt idx="14">
                  <c:v>80</c:v>
                </c:pt>
                <c:pt idx="15">
                  <c:v>85</c:v>
                </c:pt>
                <c:pt idx="16">
                  <c:v>90</c:v>
                </c:pt>
                <c:pt idx="17">
                  <c:v>95</c:v>
                </c:pt>
                <c:pt idx="18">
                  <c:v>100</c:v>
                </c:pt>
                <c:pt idx="19">
                  <c:v>105</c:v>
                </c:pt>
                <c:pt idx="20">
                  <c:v>110</c:v>
                </c:pt>
                <c:pt idx="21">
                  <c:v>115</c:v>
                </c:pt>
                <c:pt idx="22">
                  <c:v>120</c:v>
                </c:pt>
              </c:numCache>
            </c:numRef>
          </c:xVal>
          <c:yVal>
            <c:numRef>
              <c:f>'a（自動）計算用'!$I$121:$I$143</c:f>
              <c:numCache>
                <c:formatCode>0.0_ </c:formatCode>
                <c:ptCount val="23"/>
                <c:pt idx="0">
                  <c:v>11.138932082557449</c:v>
                </c:pt>
                <c:pt idx="1">
                  <c:v>14.15072273584609</c:v>
                </c:pt>
                <c:pt idx="2">
                  <c:v>18.373665098837925</c:v>
                </c:pt>
                <c:pt idx="3">
                  <c:v>22.542107957952606</c:v>
                </c:pt>
                <c:pt idx="4">
                  <c:v>24.239799428023662</c:v>
                </c:pt>
                <c:pt idx="5">
                  <c:v>28.461133192967722</c:v>
                </c:pt>
                <c:pt idx="6">
                  <c:v>29.770326614206979</c:v>
                </c:pt>
                <c:pt idx="7">
                  <c:v>30.828433967991618</c:v>
                </c:pt>
                <c:pt idx="8">
                  <c:v>34.965136950983052</c:v>
                </c:pt>
                <c:pt idx="9">
                  <c:v>35.845303961474485</c:v>
                </c:pt>
                <c:pt idx="10">
                  <c:v>36.580822789173901</c:v>
                </c:pt>
                <c:pt idx="11">
                  <c:v>37.19941436109827</c:v>
                </c:pt>
                <c:pt idx="12">
                  <c:v>37.722557127258767</c:v>
                </c:pt>
                <c:pt idx="13">
                  <c:v>38.167084833956942</c:v>
                </c:pt>
                <c:pt idx="14">
                  <c:v>38.546343624815997</c:v>
                </c:pt>
                <c:pt idx="15">
                  <c:v>42.711905271695571</c:v>
                </c:pt>
                <c:pt idx="16">
                  <c:v>43.053219760071975</c:v>
                </c:pt>
                <c:pt idx="17">
                  <c:v>43.34745071641025</c:v>
                </c:pt>
                <c:pt idx="18">
                  <c:v>43.601576528755324</c:v>
                </c:pt>
                <c:pt idx="19">
                  <c:v>43.82142064910196</c:v>
                </c:pt>
                <c:pt idx="20">
                  <c:v>44.011872080202394</c:v>
                </c:pt>
                <c:pt idx="21">
                  <c:v>44.177056988530403</c:v>
                </c:pt>
                <c:pt idx="22">
                  <c:v>44.320473741841305</c:v>
                </c:pt>
              </c:numCache>
            </c:numRef>
          </c:yVal>
          <c:smooth val="0"/>
          <c:extLst>
            <c:ext xmlns:c16="http://schemas.microsoft.com/office/drawing/2014/chart" uri="{C3380CC4-5D6E-409C-BE32-E72D297353CC}">
              <c16:uniqueId val="{00000000-4E37-4C6F-A650-3E9C3107FC0B}"/>
            </c:ext>
          </c:extLst>
        </c:ser>
        <c:ser>
          <c:idx val="1"/>
          <c:order val="1"/>
          <c:tx>
            <c:v>手動</c:v>
          </c:tx>
          <c:marker>
            <c:symbol val="none"/>
          </c:marker>
          <c:xVal>
            <c:numRef>
              <c:f>'b（手動）計算用'!$E$121:$E$143</c:f>
              <c:numCache>
                <c:formatCode>0_ </c:formatCode>
                <c:ptCount val="23"/>
                <c:pt idx="0">
                  <c:v>10</c:v>
                </c:pt>
                <c:pt idx="1">
                  <c:v>15</c:v>
                </c:pt>
                <c:pt idx="2">
                  <c:v>20</c:v>
                </c:pt>
                <c:pt idx="3">
                  <c:v>25</c:v>
                </c:pt>
                <c:pt idx="4">
                  <c:v>30</c:v>
                </c:pt>
                <c:pt idx="5">
                  <c:v>35</c:v>
                </c:pt>
                <c:pt idx="6">
                  <c:v>40</c:v>
                </c:pt>
                <c:pt idx="7">
                  <c:v>45</c:v>
                </c:pt>
                <c:pt idx="8">
                  <c:v>50</c:v>
                </c:pt>
                <c:pt idx="9">
                  <c:v>55</c:v>
                </c:pt>
                <c:pt idx="10">
                  <c:v>60</c:v>
                </c:pt>
                <c:pt idx="11">
                  <c:v>65</c:v>
                </c:pt>
                <c:pt idx="12">
                  <c:v>70</c:v>
                </c:pt>
                <c:pt idx="13">
                  <c:v>75</c:v>
                </c:pt>
                <c:pt idx="14">
                  <c:v>80</c:v>
                </c:pt>
                <c:pt idx="15">
                  <c:v>85</c:v>
                </c:pt>
                <c:pt idx="16">
                  <c:v>90</c:v>
                </c:pt>
                <c:pt idx="17">
                  <c:v>95</c:v>
                </c:pt>
                <c:pt idx="18">
                  <c:v>100</c:v>
                </c:pt>
                <c:pt idx="19">
                  <c:v>105</c:v>
                </c:pt>
                <c:pt idx="20">
                  <c:v>110</c:v>
                </c:pt>
                <c:pt idx="21">
                  <c:v>115</c:v>
                </c:pt>
                <c:pt idx="22">
                  <c:v>120</c:v>
                </c:pt>
              </c:numCache>
            </c:numRef>
          </c:xVal>
          <c:yVal>
            <c:numRef>
              <c:f>'b（手動）計算用'!$I$121:$I$143</c:f>
              <c:numCache>
                <c:formatCode>0.0_ </c:formatCode>
                <c:ptCount val="23"/>
                <c:pt idx="0">
                  <c:v>11.138932082557449</c:v>
                </c:pt>
                <c:pt idx="1">
                  <c:v>14.15072273584609</c:v>
                </c:pt>
                <c:pt idx="2">
                  <c:v>16.343495164728143</c:v>
                </c:pt>
                <c:pt idx="3">
                  <c:v>18.04537187006207</c:v>
                </c:pt>
                <c:pt idx="4">
                  <c:v>19.422304784112736</c:v>
                </c:pt>
                <c:pt idx="5">
                  <c:v>23.551802123586025</c:v>
                </c:pt>
                <c:pt idx="6">
                  <c:v>24.427211647899032</c:v>
                </c:pt>
                <c:pt idx="7">
                  <c:v>27.509615816911396</c:v>
                </c:pt>
                <c:pt idx="8">
                  <c:v>28.189344270051308</c:v>
                </c:pt>
                <c:pt idx="9">
                  <c:v>28.746908057465127</c:v>
                </c:pt>
                <c:pt idx="10">
                  <c:v>31.890739177455135</c:v>
                </c:pt>
                <c:pt idx="11">
                  <c:v>32.353200745050863</c:v>
                </c:pt>
                <c:pt idx="12">
                  <c:v>32.742686276885834</c:v>
                </c:pt>
                <c:pt idx="13">
                  <c:v>33.072496687320559</c:v>
                </c:pt>
                <c:pt idx="14">
                  <c:v>33.353062403968352</c:v>
                </c:pt>
                <c:pt idx="15">
                  <c:v>33.592667046640045</c:v>
                </c:pt>
                <c:pt idx="16">
                  <c:v>33.797966223996639</c:v>
                </c:pt>
                <c:pt idx="17">
                  <c:v>33.974363919594246</c:v>
                </c:pt>
                <c:pt idx="18">
                  <c:v>34.126289109021592</c:v>
                </c:pt>
                <c:pt idx="19">
                  <c:v>34.257401791260442</c:v>
                </c:pt>
                <c:pt idx="20">
                  <c:v>34.370748513622367</c:v>
                </c:pt>
                <c:pt idx="21">
                  <c:v>34.468881313684811</c:v>
                </c:pt>
                <c:pt idx="22">
                  <c:v>34.553949826257373</c:v>
                </c:pt>
              </c:numCache>
            </c:numRef>
          </c:yVal>
          <c:smooth val="0"/>
          <c:extLst>
            <c:ext xmlns:c16="http://schemas.microsoft.com/office/drawing/2014/chart" uri="{C3380CC4-5D6E-409C-BE32-E72D297353CC}">
              <c16:uniqueId val="{00000001-4E37-4C6F-A650-3E9C3107FC0B}"/>
            </c:ext>
          </c:extLst>
        </c:ser>
        <c:dLbls>
          <c:showLegendKey val="0"/>
          <c:showVal val="0"/>
          <c:showCatName val="0"/>
          <c:showSerName val="0"/>
          <c:showPercent val="0"/>
          <c:showBubbleSize val="0"/>
        </c:dLbls>
        <c:axId val="914885888"/>
        <c:axId val="914886872"/>
      </c:scatterChart>
      <c:valAx>
        <c:axId val="914885888"/>
        <c:scaling>
          <c:orientation val="minMax"/>
        </c:scaling>
        <c:delete val="0"/>
        <c:axPos val="b"/>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w="9525" cap="flat" cmpd="sng" algn="ctr">
            <a:solidFill>
              <a:sysClr val="windowText" lastClr="000000"/>
            </a:solidFill>
            <a:round/>
          </a:ln>
          <a:effectLst/>
        </c:spPr>
        <c:txPr>
          <a:bodyPr rot="-60000000" vert="horz"/>
          <a:lstStyle/>
          <a:p>
            <a:pPr>
              <a:defRPr/>
            </a:pPr>
            <a:endParaRPr lang="ja-JP"/>
          </a:p>
        </c:txPr>
        <c:crossAx val="914886872"/>
        <c:crosses val="autoZero"/>
        <c:crossBetween val="midCat"/>
        <c:majorUnit val="10"/>
      </c:valAx>
      <c:valAx>
        <c:axId val="914886872"/>
        <c:scaling>
          <c:orientation val="minMax"/>
          <c:max val="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w="9525" cap="flat" cmpd="sng" algn="ctr">
            <a:solidFill>
              <a:sysClr val="windowText" lastClr="000000"/>
            </a:solidFill>
            <a:round/>
          </a:ln>
          <a:effectLst/>
        </c:spPr>
        <c:txPr>
          <a:bodyPr rot="-60000000" vert="horz"/>
          <a:lstStyle/>
          <a:p>
            <a:pPr>
              <a:defRPr/>
            </a:pPr>
            <a:endParaRPr lang="ja-JP"/>
          </a:p>
        </c:txPr>
        <c:crossAx val="914885888"/>
        <c:crosses val="autoZero"/>
        <c:crossBetween val="midCat"/>
        <c:majorUnit val="10"/>
      </c:valAx>
      <c:spPr>
        <a:ln>
          <a:solidFill>
            <a:schemeClr val="tx1"/>
          </a:solidFill>
        </a:ln>
      </c:spPr>
    </c:plotArea>
    <c:legend>
      <c:legendPos val="l"/>
      <c:layout>
        <c:manualLayout>
          <c:xMode val="edge"/>
          <c:yMode val="edge"/>
          <c:x val="0.13625304136253041"/>
          <c:y val="0.16744727804546822"/>
          <c:w val="0.22384428223844283"/>
          <c:h val="0.18795784855251302"/>
        </c:manualLayout>
      </c:layout>
      <c:overlay val="0"/>
      <c:spPr>
        <a:solidFill>
          <a:schemeClr val="bg1"/>
        </a:solidFill>
        <a:ln>
          <a:solidFill>
            <a:sysClr val="windowText" lastClr="000000"/>
          </a:solidFill>
        </a:ln>
      </c:spPr>
    </c:legend>
    <c:plotVisOnly val="1"/>
    <c:dispBlanksAs val="gap"/>
    <c:showDLblsOverMax val="0"/>
  </c:chart>
  <c:spPr>
    <a:ln>
      <a:noFill/>
    </a:ln>
  </c:spPr>
  <c:txPr>
    <a:bodyPr/>
    <a:lstStyle/>
    <a:p>
      <a:pPr>
        <a:defRPr sz="800"/>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材積</a:t>
            </a:r>
            <a:endParaRPr lang="en-US" altLang="ja-JP"/>
          </a:p>
        </c:rich>
      </c:tx>
      <c:layout>
        <c:manualLayout>
          <c:xMode val="edge"/>
          <c:yMode val="edge"/>
          <c:x val="0.47066666666666668"/>
          <c:y val="0"/>
        </c:manualLayout>
      </c:layout>
      <c:overlay val="0"/>
      <c:spPr>
        <a:noFill/>
        <a:ln>
          <a:noFill/>
        </a:ln>
        <a:effectLst/>
      </c:spPr>
    </c:title>
    <c:autoTitleDeleted val="0"/>
    <c:plotArea>
      <c:layout>
        <c:manualLayout>
          <c:layoutTarget val="inner"/>
          <c:xMode val="edge"/>
          <c:yMode val="edge"/>
          <c:x val="5.465718846999796E-2"/>
          <c:y val="9.1992885015109244E-2"/>
          <c:w val="0.90049254152509284"/>
          <c:h val="0.82443597874814123"/>
        </c:manualLayout>
      </c:layout>
      <c:scatterChart>
        <c:scatterStyle val="lineMarker"/>
        <c:varyColors val="0"/>
        <c:ser>
          <c:idx val="1"/>
          <c:order val="0"/>
          <c:tx>
            <c:v>条件①</c:v>
          </c:tx>
          <c:marker>
            <c:symbol val="none"/>
          </c:marker>
          <c:xVal>
            <c:numRef>
              <c:f>'b（手動）計算用'!$D$5:$D$115</c:f>
              <c:numCache>
                <c:formatCode>General</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'b（手動）計算用'!$H$5:$H$115</c:f>
              <c:numCache>
                <c:formatCode>0.0_ </c:formatCode>
                <c:ptCount val="111"/>
                <c:pt idx="0">
                  <c:v>102.2800111677394</c:v>
                </c:pt>
                <c:pt idx="1">
                  <c:v>124.22331651364004</c:v>
                </c:pt>
                <c:pt idx="2">
                  <c:v>146.76866090703777</c:v>
                </c:pt>
                <c:pt idx="3">
                  <c:v>170.35142162858887</c:v>
                </c:pt>
                <c:pt idx="4">
                  <c:v>194.70162037952747</c:v>
                </c:pt>
                <c:pt idx="5">
                  <c:v>219.66196464449416</c:v>
                </c:pt>
                <c:pt idx="6">
                  <c:v>245.09492476727775</c:v>
                </c:pt>
                <c:pt idx="7">
                  <c:v>270.88036921106317</c:v>
                </c:pt>
                <c:pt idx="8">
                  <c:v>296.91335942972614</c:v>
                </c:pt>
                <c:pt idx="9">
                  <c:v>323.10217185137168</c:v>
                </c:pt>
                <c:pt idx="10">
                  <c:v>349.36656442215394</c:v>
                </c:pt>
                <c:pt idx="11">
                  <c:v>375.63627903669754</c:v>
                </c:pt>
                <c:pt idx="12">
                  <c:v>401.8497588205708</c:v>
                </c:pt>
                <c:pt idx="13">
                  <c:v>427.95305457127449</c:v>
                </c:pt>
                <c:pt idx="14">
                  <c:v>453.89889415417747</c:v>
                </c:pt>
                <c:pt idx="15">
                  <c:v>479.64589023952368</c:v>
                </c:pt>
                <c:pt idx="16">
                  <c:v>505.15786429703888</c:v>
                </c:pt>
                <c:pt idx="17">
                  <c:v>530.4032675978408</c:v>
                </c:pt>
                <c:pt idx="18">
                  <c:v>555.35468277166194</c:v>
                </c:pt>
                <c:pt idx="19">
                  <c:v>579.98839206411412</c:v>
                </c:pt>
                <c:pt idx="20">
                  <c:v>604.28400076205753</c:v>
                </c:pt>
                <c:pt idx="21">
                  <c:v>553.65280486398251</c:v>
                </c:pt>
                <c:pt idx="22">
                  <c:v>577.10600989738703</c:v>
                </c:pt>
                <c:pt idx="23">
                  <c:v>600.27008861044362</c:v>
                </c:pt>
                <c:pt idx="24">
                  <c:v>623.12610548454222</c:v>
                </c:pt>
                <c:pt idx="25">
                  <c:v>645.6577675810679</c:v>
                </c:pt>
                <c:pt idx="26">
                  <c:v>667.85119866670391</c:v>
                </c:pt>
                <c:pt idx="27">
                  <c:v>689.69472876539942</c:v>
                </c:pt>
                <c:pt idx="28">
                  <c:v>711.17869805283431</c:v>
                </c:pt>
                <c:pt idx="29">
                  <c:v>732.29527417920644</c:v>
                </c:pt>
                <c:pt idx="30">
                  <c:v>753.03828223992923</c:v>
                </c:pt>
                <c:pt idx="31">
                  <c:v>711.72785869968254</c:v>
                </c:pt>
                <c:pt idx="32">
                  <c:v>730.86209724929176</c:v>
                </c:pt>
                <c:pt idx="33">
                  <c:v>749.6462682297913</c:v>
                </c:pt>
                <c:pt idx="34">
                  <c:v>768.0778502353603</c:v>
                </c:pt>
                <c:pt idx="35">
                  <c:v>786.15536229490056</c:v>
                </c:pt>
                <c:pt idx="36">
                  <c:v>803.87825623091862</c:v>
                </c:pt>
                <c:pt idx="37">
                  <c:v>821.24681741305517</c:v>
                </c:pt>
                <c:pt idx="38">
                  <c:v>838.26207350237883</c:v>
                </c:pt>
                <c:pt idx="39">
                  <c:v>854.92571076889703</c:v>
                </c:pt>
                <c:pt idx="40">
                  <c:v>871.23999755514399</c:v>
                </c:pt>
                <c:pt idx="41">
                  <c:v>887.20771445367052</c:v>
                </c:pt>
                <c:pt idx="42">
                  <c:v>902.832090765825</c:v>
                </c:pt>
                <c:pt idx="43">
                  <c:v>918.11674681329373</c:v>
                </c:pt>
                <c:pt idx="44">
                  <c:v>933.06564168197315</c:v>
                </c:pt>
                <c:pt idx="45">
                  <c:v>947.68302598946764</c:v>
                </c:pt>
                <c:pt idx="46">
                  <c:v>885.74771455717746</c:v>
                </c:pt>
                <c:pt idx="47">
                  <c:v>899.12347291313961</c:v>
                </c:pt>
                <c:pt idx="48">
                  <c:v>912.20209403078456</c:v>
                </c:pt>
                <c:pt idx="49">
                  <c:v>924.98781146581121</c:v>
                </c:pt>
                <c:pt idx="50">
                  <c:v>937.48501134342212</c:v>
                </c:pt>
                <c:pt idx="51">
                  <c:v>949.6982061890576</c:v>
                </c:pt>
                <c:pt idx="52">
                  <c:v>961.63201144937432</c:v>
                </c:pt>
                <c:pt idx="53">
                  <c:v>973.29112445815372</c:v>
                </c:pt>
                <c:pt idx="54">
                  <c:v>984.68030562012166</c:v>
                </c:pt>
                <c:pt idx="55">
                  <c:v>995.80436160353179</c:v>
                </c:pt>
                <c:pt idx="56">
                  <c:v>1006.6681303493801</c:v>
                </c:pt>
                <c:pt idx="57">
                  <c:v>1017.2764677214876</c:v>
                </c:pt>
                <c:pt idx="58">
                  <c:v>1027.6342356369712</c:v>
                </c:pt>
                <c:pt idx="59">
                  <c:v>1037.7462915310678</c:v>
                </c:pt>
                <c:pt idx="60">
                  <c:v>1047.6174790236453</c:v>
                </c:pt>
                <c:pt idx="61">
                  <c:v>1057.2526196671756</c:v>
                </c:pt>
                <c:pt idx="62">
                  <c:v>1066.656505667341</c:v>
                </c:pt>
                <c:pt idx="63">
                  <c:v>1075.833893478009</c:v>
                </c:pt>
                <c:pt idx="64">
                  <c:v>1084.7894981818608</c:v>
                </c:pt>
                <c:pt idx="65">
                  <c:v>1093.5279885767359</c:v>
                </c:pt>
                <c:pt idx="66">
                  <c:v>1102.0539828957105</c:v>
                </c:pt>
                <c:pt idx="67">
                  <c:v>1110.3720450961353</c:v>
                </c:pt>
                <c:pt idx="68">
                  <c:v>1118.4866816593867</c:v>
                </c:pt>
                <c:pt idx="69">
                  <c:v>1126.4023388489622</c:v>
                </c:pt>
                <c:pt idx="70">
                  <c:v>1134.1234003799025</c:v>
                </c:pt>
                <c:pt idx="71">
                  <c:v>1141.6541854572299</c:v>
                </c:pt>
                <c:pt idx="72">
                  <c:v>1148.9989471454599</c:v>
                </c:pt>
                <c:pt idx="73">
                  <c:v>1156.1618710350629</c:v>
                </c:pt>
                <c:pt idx="74">
                  <c:v>1163.1470741752223</c:v>
                </c:pt>
                <c:pt idx="75">
                  <c:v>1169.9586042453445</c:v>
                </c:pt>
                <c:pt idx="76">
                  <c:v>1176.6004389405396</c:v>
                </c:pt>
                <c:pt idx="77">
                  <c:v>1183.0764855488394</c:v>
                </c:pt>
                <c:pt idx="78">
                  <c:v>1189.3905807000701</c:v>
                </c:pt>
                <c:pt idx="79">
                  <c:v>1195.5464902683739</c:v>
                </c:pt>
                <c:pt idx="80">
                  <c:v>1201.5479094121258</c:v>
                </c:pt>
                <c:pt idx="81">
                  <c:v>1207.3984627366106</c:v>
                </c:pt>
                <c:pt idx="82">
                  <c:v>1213.101704566252</c:v>
                </c:pt>
                <c:pt idx="83">
                  <c:v>1218.6611193145111</c:v>
                </c:pt>
                <c:pt idx="84">
                  <c:v>1224.0801219406676</c:v>
                </c:pt>
                <c:pt idx="85">
                  <c:v>1229.3620584838163</c:v>
                </c:pt>
                <c:pt idx="86">
                  <c:v>1234.5102066652635</c:v>
                </c:pt>
                <c:pt idx="87">
                  <c:v>1239.5277765514074</c:v>
                </c:pt>
                <c:pt idx="88">
                  <c:v>1244.4179112699132</c:v>
                </c:pt>
                <c:pt idx="89">
                  <c:v>1249.1836877726623</c:v>
                </c:pt>
                <c:pt idx="90">
                  <c:v>1253.8281176396088</c:v>
                </c:pt>
                <c:pt idx="91">
                  <c:v>1258.3541479181697</c:v>
                </c:pt>
                <c:pt idx="92">
                  <c:v>1262.7646619933234</c:v>
                </c:pt>
                <c:pt idx="93">
                  <c:v>1267.0624804840143</c:v>
                </c:pt>
                <c:pt idx="94">
                  <c:v>1271.2503621618644</c:v>
                </c:pt>
                <c:pt idx="95">
                  <c:v>1275.3310048885899</c:v>
                </c:pt>
                <c:pt idx="96">
                  <c:v>1279.3070465687995</c:v>
                </c:pt>
                <c:pt idx="97">
                  <c:v>1283.1810661152399</c:v>
                </c:pt>
                <c:pt idx="98">
                  <c:v>1286.9555844237159</c:v>
                </c:pt>
                <c:pt idx="99">
                  <c:v>1290.6330653552702</c:v>
                </c:pt>
                <c:pt idx="100">
                  <c:v>1294.2159167233617</c:v>
                </c:pt>
                <c:pt idx="101">
                  <c:v>1297.7064912840287</c:v>
                </c:pt>
                <c:pt idx="102">
                  <c:v>1301.1070877271777</c:v>
                </c:pt>
                <c:pt idx="103">
                  <c:v>1304.4199516673457</c:v>
                </c:pt>
                <c:pt idx="104">
                  <c:v>1307.647276632428</c:v>
                </c:pt>
                <c:pt idx="105">
                  <c:v>1310.7912050489779</c:v>
                </c:pt>
                <c:pt idx="106">
                  <c:v>1313.8538292228729</c:v>
                </c:pt>
                <c:pt idx="107">
                  <c:v>1316.8371923142151</c:v>
                </c:pt>
                <c:pt idx="108">
                  <c:v>1319.7432893054508</c:v>
                </c:pt>
                <c:pt idx="109">
                  <c:v>1322.5740679618391</c:v>
                </c:pt>
                <c:pt idx="110">
                  <c:v>1325.3314297834042</c:v>
                </c:pt>
              </c:numCache>
            </c:numRef>
          </c:yVal>
          <c:smooth val="0"/>
          <c:extLst>
            <c:ext xmlns:c16="http://schemas.microsoft.com/office/drawing/2014/chart" uri="{C3380CC4-5D6E-409C-BE32-E72D297353CC}">
              <c16:uniqueId val="{00000000-5FB8-4EE3-A8F6-567CE3292CCF}"/>
            </c:ext>
          </c:extLst>
        </c:ser>
        <c:dLbls>
          <c:showLegendKey val="0"/>
          <c:showVal val="0"/>
          <c:showCatName val="0"/>
          <c:showSerName val="0"/>
          <c:showPercent val="0"/>
          <c:showBubbleSize val="0"/>
        </c:dLbls>
        <c:axId val="914885888"/>
        <c:axId val="914886872"/>
      </c:scatterChart>
      <c:valAx>
        <c:axId val="914885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6872"/>
        <c:crosses val="autoZero"/>
        <c:crossBetween val="midCat"/>
        <c:majorUnit val="10"/>
      </c:valAx>
      <c:valAx>
        <c:axId val="914886872"/>
        <c:scaling>
          <c:orientation val="minMax"/>
          <c:max val="15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5888"/>
        <c:crosses val="autoZero"/>
        <c:crossBetween val="midCat"/>
        <c:majorUnit val="100"/>
      </c:valAx>
      <c:spPr>
        <a:ln>
          <a:solidFill>
            <a:schemeClr val="tx1"/>
          </a:solidFill>
        </a:ln>
      </c:spPr>
    </c:plotArea>
    <c:plotVisOnly val="1"/>
    <c:dispBlanksAs val="gap"/>
    <c:showDLblsOverMax val="0"/>
  </c:chart>
  <c:spPr>
    <a:ln>
      <a:noFill/>
    </a:ln>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密度</a:t>
            </a:r>
            <a:endParaRPr lang="en-US" altLang="ja-JP"/>
          </a:p>
        </c:rich>
      </c:tx>
      <c:layout>
        <c:manualLayout>
          <c:xMode val="edge"/>
          <c:yMode val="edge"/>
          <c:x val="0.47066666666666668"/>
          <c:y val="0"/>
        </c:manualLayout>
      </c:layout>
      <c:overlay val="0"/>
      <c:spPr>
        <a:noFill/>
        <a:ln>
          <a:noFill/>
        </a:ln>
        <a:effectLst/>
      </c:spPr>
    </c:title>
    <c:autoTitleDeleted val="0"/>
    <c:plotArea>
      <c:layout>
        <c:manualLayout>
          <c:layoutTarget val="inner"/>
          <c:xMode val="edge"/>
          <c:yMode val="edge"/>
          <c:x val="5.465718846999796E-2"/>
          <c:y val="9.1992885015109244E-2"/>
          <c:w val="0.90049254152509284"/>
          <c:h val="0.82443597874814123"/>
        </c:manualLayout>
      </c:layout>
      <c:scatterChart>
        <c:scatterStyle val="lineMarker"/>
        <c:varyColors val="0"/>
        <c:ser>
          <c:idx val="1"/>
          <c:order val="0"/>
          <c:marker>
            <c:symbol val="none"/>
          </c:marker>
          <c:xVal>
            <c:numRef>
              <c:f>'b（手動）計算用'!$D$5:$D$115</c:f>
              <c:numCache>
                <c:formatCode>General</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'b（手動）計算用'!$F$5:$F$115</c:f>
              <c:numCache>
                <c:formatCode>0_ </c:formatCode>
                <c:ptCount val="111"/>
                <c:pt idx="0">
                  <c:v>2400</c:v>
                </c:pt>
                <c:pt idx="1">
                  <c:v>2400</c:v>
                </c:pt>
                <c:pt idx="2">
                  <c:v>2378.6995149385252</c:v>
                </c:pt>
                <c:pt idx="3">
                  <c:v>2359.9216915640836</c:v>
                </c:pt>
                <c:pt idx="4">
                  <c:v>2340.7662406907311</c:v>
                </c:pt>
                <c:pt idx="5">
                  <c:v>2321.3807070057342</c:v>
                </c:pt>
                <c:pt idx="6">
                  <c:v>2301.8907004546645</c:v>
                </c:pt>
                <c:pt idx="7">
                  <c:v>2282.402289098367</c:v>
                </c:pt>
                <c:pt idx="8">
                  <c:v>2263.0043655536742</c:v>
                </c:pt>
                <c:pt idx="9">
                  <c:v>2243.7708697822568</c:v>
                </c:pt>
                <c:pt idx="10">
                  <c:v>2224.7628122291453</c:v>
                </c:pt>
                <c:pt idx="11">
                  <c:v>2206.0300779597787</c:v>
                </c:pt>
                <c:pt idx="12">
                  <c:v>2187.6130135408257</c:v>
                </c:pt>
                <c:pt idx="13">
                  <c:v>2169.5438098124546</c:v>
                </c:pt>
                <c:pt idx="14">
                  <c:v>2151.8476991637572</c:v>
                </c:pt>
                <c:pt idx="15">
                  <c:v>2134.5439878349262</c:v>
                </c:pt>
                <c:pt idx="16">
                  <c:v>2117.6469436323105</c:v>
                </c:pt>
                <c:pt idx="17">
                  <c:v>2101.166558191509</c:v>
                </c:pt>
                <c:pt idx="18">
                  <c:v>2085.1092011342921</c:v>
                </c:pt>
                <c:pt idx="19">
                  <c:v>2069.4781814832136</c:v>
                </c:pt>
                <c:pt idx="20">
                  <c:v>2054.2742297248478</c:v>
                </c:pt>
                <c:pt idx="21">
                  <c:v>1434.2742297248478</c:v>
                </c:pt>
                <c:pt idx="22">
                  <c:v>1434.2742297248478</c:v>
                </c:pt>
                <c:pt idx="23">
                  <c:v>1434.2742297248478</c:v>
                </c:pt>
                <c:pt idx="24">
                  <c:v>1434.2742297248478</c:v>
                </c:pt>
                <c:pt idx="25">
                  <c:v>1434.2742297248478</c:v>
                </c:pt>
                <c:pt idx="26">
                  <c:v>1434.2742297248478</c:v>
                </c:pt>
                <c:pt idx="27">
                  <c:v>1434.2742297248478</c:v>
                </c:pt>
                <c:pt idx="28">
                  <c:v>1434.2742297248478</c:v>
                </c:pt>
                <c:pt idx="29">
                  <c:v>1434.2742297248478</c:v>
                </c:pt>
                <c:pt idx="30">
                  <c:v>1434.2742297248478</c:v>
                </c:pt>
                <c:pt idx="31">
                  <c:v>1144.2742297248478</c:v>
                </c:pt>
                <c:pt idx="32">
                  <c:v>1144.2742297248478</c:v>
                </c:pt>
                <c:pt idx="33">
                  <c:v>1144.2742297248478</c:v>
                </c:pt>
                <c:pt idx="34">
                  <c:v>1144.2742297248478</c:v>
                </c:pt>
                <c:pt idx="35">
                  <c:v>1144.2742297248478</c:v>
                </c:pt>
                <c:pt idx="36">
                  <c:v>1144.2742297248478</c:v>
                </c:pt>
                <c:pt idx="37">
                  <c:v>1144.2742297248478</c:v>
                </c:pt>
                <c:pt idx="38">
                  <c:v>1144.2742297248478</c:v>
                </c:pt>
                <c:pt idx="39">
                  <c:v>1144.2742297248478</c:v>
                </c:pt>
                <c:pt idx="40">
                  <c:v>1144.2742297248478</c:v>
                </c:pt>
                <c:pt idx="41">
                  <c:v>1144.2742297248478</c:v>
                </c:pt>
                <c:pt idx="42">
                  <c:v>1144.2742297248478</c:v>
                </c:pt>
                <c:pt idx="43">
                  <c:v>1144.2742297248478</c:v>
                </c:pt>
                <c:pt idx="44">
                  <c:v>1144.2742297248478</c:v>
                </c:pt>
                <c:pt idx="45">
                  <c:v>1144.2742297248478</c:v>
                </c:pt>
                <c:pt idx="46">
                  <c:v>914.27422972484783</c:v>
                </c:pt>
                <c:pt idx="47">
                  <c:v>914.27422972484783</c:v>
                </c:pt>
                <c:pt idx="48">
                  <c:v>914.27422972484783</c:v>
                </c:pt>
                <c:pt idx="49">
                  <c:v>914.27422972484783</c:v>
                </c:pt>
                <c:pt idx="50">
                  <c:v>914.27422972484783</c:v>
                </c:pt>
                <c:pt idx="51">
                  <c:v>914.27422972484783</c:v>
                </c:pt>
                <c:pt idx="52">
                  <c:v>914.27422972484783</c:v>
                </c:pt>
                <c:pt idx="53">
                  <c:v>914.27422972484783</c:v>
                </c:pt>
                <c:pt idx="54">
                  <c:v>914.27422972484783</c:v>
                </c:pt>
                <c:pt idx="55">
                  <c:v>914.27422972484783</c:v>
                </c:pt>
                <c:pt idx="56">
                  <c:v>914.27422972484783</c:v>
                </c:pt>
                <c:pt idx="57">
                  <c:v>914.27422972484783</c:v>
                </c:pt>
                <c:pt idx="58">
                  <c:v>914.27422972484783</c:v>
                </c:pt>
                <c:pt idx="59">
                  <c:v>914.27422972484783</c:v>
                </c:pt>
                <c:pt idx="60">
                  <c:v>914.27422972484783</c:v>
                </c:pt>
                <c:pt idx="61">
                  <c:v>914.27422972484783</c:v>
                </c:pt>
                <c:pt idx="62">
                  <c:v>914.27422972484783</c:v>
                </c:pt>
                <c:pt idx="63">
                  <c:v>914.27422972484783</c:v>
                </c:pt>
                <c:pt idx="64">
                  <c:v>914.27422972484783</c:v>
                </c:pt>
                <c:pt idx="65">
                  <c:v>914.27422972484783</c:v>
                </c:pt>
                <c:pt idx="66">
                  <c:v>914.27422972484783</c:v>
                </c:pt>
                <c:pt idx="67">
                  <c:v>914.27422972484783</c:v>
                </c:pt>
                <c:pt idx="68">
                  <c:v>914.27422972484783</c:v>
                </c:pt>
                <c:pt idx="69">
                  <c:v>914.27422972484783</c:v>
                </c:pt>
                <c:pt idx="70">
                  <c:v>914.27422972484783</c:v>
                </c:pt>
                <c:pt idx="71">
                  <c:v>914.27422972484783</c:v>
                </c:pt>
                <c:pt idx="72">
                  <c:v>914.27422972484783</c:v>
                </c:pt>
                <c:pt idx="73">
                  <c:v>914.27422972484783</c:v>
                </c:pt>
                <c:pt idx="74">
                  <c:v>914.27422972484783</c:v>
                </c:pt>
                <c:pt idx="75">
                  <c:v>914.27422972484783</c:v>
                </c:pt>
                <c:pt idx="76">
                  <c:v>914.27422972484783</c:v>
                </c:pt>
                <c:pt idx="77">
                  <c:v>914.27422972484783</c:v>
                </c:pt>
                <c:pt idx="78">
                  <c:v>914.27422972484783</c:v>
                </c:pt>
                <c:pt idx="79">
                  <c:v>914.27422972484783</c:v>
                </c:pt>
                <c:pt idx="80">
                  <c:v>914.27422972484783</c:v>
                </c:pt>
                <c:pt idx="81">
                  <c:v>914.27422972484783</c:v>
                </c:pt>
                <c:pt idx="82">
                  <c:v>914.27422972484783</c:v>
                </c:pt>
                <c:pt idx="83">
                  <c:v>914.27422972484783</c:v>
                </c:pt>
                <c:pt idx="84">
                  <c:v>914.27422972484783</c:v>
                </c:pt>
                <c:pt idx="85">
                  <c:v>914.27422972484783</c:v>
                </c:pt>
                <c:pt idx="86">
                  <c:v>914.27422972484783</c:v>
                </c:pt>
                <c:pt idx="87">
                  <c:v>914.27422972484783</c:v>
                </c:pt>
                <c:pt idx="88">
                  <c:v>914.27422972484783</c:v>
                </c:pt>
                <c:pt idx="89">
                  <c:v>914.27422972484783</c:v>
                </c:pt>
                <c:pt idx="90">
                  <c:v>914.27422972484783</c:v>
                </c:pt>
                <c:pt idx="91">
                  <c:v>914.27422972484783</c:v>
                </c:pt>
                <c:pt idx="92">
                  <c:v>914.27422972484783</c:v>
                </c:pt>
                <c:pt idx="93">
                  <c:v>914.27422972484783</c:v>
                </c:pt>
                <c:pt idx="94">
                  <c:v>914.27422972484783</c:v>
                </c:pt>
                <c:pt idx="95">
                  <c:v>914.27422972484783</c:v>
                </c:pt>
                <c:pt idx="96">
                  <c:v>914.27422972484783</c:v>
                </c:pt>
                <c:pt idx="97">
                  <c:v>914.27422972484783</c:v>
                </c:pt>
                <c:pt idx="98">
                  <c:v>914.27422972484783</c:v>
                </c:pt>
                <c:pt idx="99">
                  <c:v>914.27422972484783</c:v>
                </c:pt>
                <c:pt idx="100">
                  <c:v>914.27422972484783</c:v>
                </c:pt>
                <c:pt idx="101">
                  <c:v>914.27422972484783</c:v>
                </c:pt>
                <c:pt idx="102">
                  <c:v>914.27422972484783</c:v>
                </c:pt>
                <c:pt idx="103">
                  <c:v>914.27422972484783</c:v>
                </c:pt>
                <c:pt idx="104">
                  <c:v>914.27422972484783</c:v>
                </c:pt>
                <c:pt idx="105">
                  <c:v>914.27422972484783</c:v>
                </c:pt>
                <c:pt idx="106">
                  <c:v>914.27422972484783</c:v>
                </c:pt>
                <c:pt idx="107">
                  <c:v>914.27422972484783</c:v>
                </c:pt>
                <c:pt idx="108">
                  <c:v>914.27422972484783</c:v>
                </c:pt>
                <c:pt idx="109">
                  <c:v>914.27422972484783</c:v>
                </c:pt>
                <c:pt idx="110">
                  <c:v>914.27422972484783</c:v>
                </c:pt>
              </c:numCache>
            </c:numRef>
          </c:yVal>
          <c:smooth val="0"/>
          <c:extLst>
            <c:ext xmlns:c16="http://schemas.microsoft.com/office/drawing/2014/chart" uri="{C3380CC4-5D6E-409C-BE32-E72D297353CC}">
              <c16:uniqueId val="{00000000-1B89-4E06-85F8-381800731F34}"/>
            </c:ext>
          </c:extLst>
        </c:ser>
        <c:dLbls>
          <c:showLegendKey val="0"/>
          <c:showVal val="0"/>
          <c:showCatName val="0"/>
          <c:showSerName val="0"/>
          <c:showPercent val="0"/>
          <c:showBubbleSize val="0"/>
        </c:dLbls>
        <c:axId val="914885888"/>
        <c:axId val="914886872"/>
      </c:scatterChart>
      <c:valAx>
        <c:axId val="914885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6872"/>
        <c:crosses val="autoZero"/>
        <c:crossBetween val="midCat"/>
        <c:majorUnit val="10"/>
      </c:valAx>
      <c:valAx>
        <c:axId val="914886872"/>
        <c:scaling>
          <c:orientation val="minMax"/>
          <c:max val="40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5888"/>
        <c:crosses val="autoZero"/>
        <c:crossBetween val="midCat"/>
        <c:majorUnit val="200"/>
      </c:valAx>
      <c:spPr>
        <a:ln>
          <a:solidFill>
            <a:schemeClr val="tx1"/>
          </a:solidFill>
        </a:ln>
      </c:spPr>
    </c:plotArea>
    <c:plotVisOnly val="1"/>
    <c:dispBlanksAs val="span"/>
    <c:showDLblsOverMax val="0"/>
  </c:chart>
  <c:spPr>
    <a:ln>
      <a:noFill/>
    </a:ln>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Ry</a:t>
            </a:r>
          </a:p>
        </c:rich>
      </c:tx>
      <c:layout>
        <c:manualLayout>
          <c:xMode val="edge"/>
          <c:yMode val="edge"/>
          <c:x val="0.47066666666666668"/>
          <c:y val="0"/>
        </c:manualLayout>
      </c:layout>
      <c:overlay val="0"/>
      <c:spPr>
        <a:noFill/>
        <a:ln>
          <a:noFill/>
        </a:ln>
        <a:effectLst/>
      </c:spPr>
    </c:title>
    <c:autoTitleDeleted val="0"/>
    <c:plotArea>
      <c:layout>
        <c:manualLayout>
          <c:layoutTarget val="inner"/>
          <c:xMode val="edge"/>
          <c:yMode val="edge"/>
          <c:x val="5.465718846999796E-2"/>
          <c:y val="9.1992885015109244E-2"/>
          <c:w val="0.90049254152509284"/>
          <c:h val="0.82443597874814123"/>
        </c:manualLayout>
      </c:layout>
      <c:scatterChart>
        <c:scatterStyle val="lineMarker"/>
        <c:varyColors val="0"/>
        <c:ser>
          <c:idx val="1"/>
          <c:order val="0"/>
          <c:tx>
            <c:v>条件①</c:v>
          </c:tx>
          <c:marker>
            <c:symbol val="none"/>
          </c:marker>
          <c:xVal>
            <c:numRef>
              <c:f>'b（手動）計算用'!$E$5:$E$115</c:f>
              <c:numCache>
                <c:formatCode>0_ </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'b（手動）計算用'!$T$5:$T$115</c:f>
              <c:numCache>
                <c:formatCode>0.00_ </c:formatCode>
                <c:ptCount val="111"/>
                <c:pt idx="0">
                  <c:v>0.53912917556448103</c:v>
                </c:pt>
                <c:pt idx="1">
                  <c:v>0.57999766699305544</c:v>
                </c:pt>
                <c:pt idx="2">
                  <c:v>0.61440882489371806</c:v>
                </c:pt>
                <c:pt idx="3">
                  <c:v>0.64593872659071028</c:v>
                </c:pt>
                <c:pt idx="4">
                  <c:v>0.67451407995314949</c:v>
                </c:pt>
                <c:pt idx="5">
                  <c:v>0.70045488300666847</c:v>
                </c:pt>
                <c:pt idx="6">
                  <c:v>0.72404923070116278</c:v>
                </c:pt>
                <c:pt idx="7">
                  <c:v>0.74555378117272408</c:v>
                </c:pt>
                <c:pt idx="8">
                  <c:v>0.76519570415109928</c:v>
                </c:pt>
                <c:pt idx="9">
                  <c:v>0.78317530264863533</c:v>
                </c:pt>
                <c:pt idx="10">
                  <c:v>0.79966884212340517</c:v>
                </c:pt>
                <c:pt idx="11">
                  <c:v>0.81483132953753434</c:v>
                </c:pt>
                <c:pt idx="12">
                  <c:v>0.82879910950820046</c:v>
                </c:pt>
                <c:pt idx="13">
                  <c:v>0.84169221821162155</c:v>
                </c:pt>
                <c:pt idx="14">
                  <c:v>0.85361647783445405</c:v>
                </c:pt>
                <c:pt idx="15">
                  <c:v>0.8646653375417257</c:v>
                </c:pt>
                <c:pt idx="16">
                  <c:v>0.87492147876876547</c:v>
                </c:pt>
                <c:pt idx="17">
                  <c:v>0.88445820782285334</c:v>
                </c:pt>
                <c:pt idx="18">
                  <c:v>0.89334066014991687</c:v>
                </c:pt>
                <c:pt idx="19">
                  <c:v>0.90162683990706161</c:v>
                </c:pt>
                <c:pt idx="20">
                  <c:v>0.79747890681961453</c:v>
                </c:pt>
                <c:pt idx="21">
                  <c:v>0.80780854996021612</c:v>
                </c:pt>
                <c:pt idx="22">
                  <c:v>0.81758806381640869</c:v>
                </c:pt>
                <c:pt idx="23">
                  <c:v>0.82685364257297544</c:v>
                </c:pt>
                <c:pt idx="24">
                  <c:v>0.83563872346056745</c:v>
                </c:pt>
                <c:pt idx="25">
                  <c:v>0.84397421583543009</c:v>
                </c:pt>
                <c:pt idx="26">
                  <c:v>0.85188871112104514</c:v>
                </c:pt>
                <c:pt idx="27">
                  <c:v>0.859408674788676</c:v>
                </c:pt>
                <c:pt idx="28">
                  <c:v>0.86655862166436115</c:v>
                </c:pt>
                <c:pt idx="29">
                  <c:v>0.87336127587882117</c:v>
                </c:pt>
                <c:pt idx="30">
                  <c:v>0.80881043816601161</c:v>
                </c:pt>
                <c:pt idx="31">
                  <c:v>0.81535265716867455</c:v>
                </c:pt>
                <c:pt idx="32">
                  <c:v>0.82160202703372609</c:v>
                </c:pt>
                <c:pt idx="33">
                  <c:v>0.82757472049494829</c:v>
                </c:pt>
                <c:pt idx="34">
                  <c:v>0.83328586681337224</c:v>
                </c:pt>
                <c:pt idx="35">
                  <c:v>0.83874962512431217</c:v>
                </c:pt>
                <c:pt idx="36">
                  <c:v>0.84397925246181837</c:v>
                </c:pt>
                <c:pt idx="37">
                  <c:v>0.84898716684224174</c:v>
                </c:pt>
                <c:pt idx="38">
                  <c:v>0.85378500576525107</c:v>
                </c:pt>
                <c:pt idx="39">
                  <c:v>0.85838368046682711</c:v>
                </c:pt>
                <c:pt idx="40">
                  <c:v>0.86279342623531075</c:v>
                </c:pt>
                <c:pt idx="41">
                  <c:v>0.86702384907914753</c:v>
                </c:pt>
                <c:pt idx="42">
                  <c:v>0.87108396901378649</c:v>
                </c:pt>
                <c:pt idx="43">
                  <c:v>0.87498226021542458</c:v>
                </c:pt>
                <c:pt idx="44">
                  <c:v>0.87872668827096478</c:v>
                </c:pt>
                <c:pt idx="45">
                  <c:v>0.81192719070865715</c:v>
                </c:pt>
                <c:pt idx="46">
                  <c:v>0.81559499761738974</c:v>
                </c:pt>
                <c:pt idx="47">
                  <c:v>0.81912621888220172</c:v>
                </c:pt>
                <c:pt idx="48">
                  <c:v>0.82252702726410298</c:v>
                </c:pt>
                <c:pt idx="49">
                  <c:v>0.82580325923670583</c:v>
                </c:pt>
                <c:pt idx="50">
                  <c:v>0.82896043580875112</c:v>
                </c:pt>
                <c:pt idx="51">
                  <c:v>0.8320037819963616</c:v>
                </c:pt>
                <c:pt idx="52">
                  <c:v>0.83493824502780456</c:v>
                </c:pt>
                <c:pt idx="53">
                  <c:v>0.83776851135962616</c:v>
                </c:pt>
                <c:pt idx="54">
                  <c:v>0.84049902257911968</c:v>
                </c:pt>
                <c:pt idx="55">
                  <c:v>0.8431339902642484</c:v>
                </c:pt>
                <c:pt idx="56">
                  <c:v>0.84567740986833806</c:v>
                </c:pt>
                <c:pt idx="57">
                  <c:v>0.84813307369316104</c:v>
                </c:pt>
                <c:pt idx="58">
                  <c:v>0.85050458301042253</c:v>
                </c:pt>
                <c:pt idx="59">
                  <c:v>0.85279535938815298</c:v>
                </c:pt>
                <c:pt idx="60">
                  <c:v>0.85500865527514358</c:v>
                </c:pt>
                <c:pt idx="61">
                  <c:v>0.8571475638933076</c:v>
                </c:pt>
                <c:pt idx="62">
                  <c:v>0.85921502848473585</c:v>
                </c:pt>
                <c:pt idx="63">
                  <c:v>0.86121385095724978</c:v>
                </c:pt>
                <c:pt idx="64">
                  <c:v>0.86314669996941906</c:v>
                </c:pt>
                <c:pt idx="65">
                  <c:v>0.86501611849332682</c:v>
                </c:pt>
                <c:pt idx="66">
                  <c:v>0.86682453089082323</c:v>
                </c:pt>
                <c:pt idx="67">
                  <c:v>0.86857424953660067</c:v>
                </c:pt>
                <c:pt idx="68">
                  <c:v>0.87026748101916784</c:v>
                </c:pt>
                <c:pt idx="69">
                  <c:v>0.8719063319486613</c:v>
                </c:pt>
                <c:pt idx="70">
                  <c:v>0.87349281439844451</c:v>
                </c:pt>
                <c:pt idx="71">
                  <c:v>0.87502885100555394</c:v>
                </c:pt>
                <c:pt idx="72">
                  <c:v>0.87651627975332069</c:v>
                </c:pt>
                <c:pt idx="73">
                  <c:v>0.87795685845783789</c:v>
                </c:pt>
                <c:pt idx="74">
                  <c:v>0.87935226897842533</c:v>
                </c:pt>
                <c:pt idx="75">
                  <c:v>0.88070412117081454</c:v>
                </c:pt>
                <c:pt idx="76">
                  <c:v>0.88201395660044746</c:v>
                </c:pt>
                <c:pt idx="77">
                  <c:v>0.88328325203205171</c:v>
                </c:pt>
                <c:pt idx="78">
                  <c:v>0.88451342271049904</c:v>
                </c:pt>
                <c:pt idx="79">
                  <c:v>0.88570582544689003</c:v>
                </c:pt>
                <c:pt idx="80">
                  <c:v>0.88686176152281748</c:v>
                </c:pt>
                <c:pt idx="81">
                  <c:v>0.88798247942484099</c:v>
                </c:pt>
                <c:pt idx="82">
                  <c:v>0.88906917742034242</c:v>
                </c:pt>
                <c:pt idx="83">
                  <c:v>0.89012300598515537</c:v>
                </c:pt>
                <c:pt idx="84">
                  <c:v>0.89114507009261501</c:v>
                </c:pt>
                <c:pt idx="85">
                  <c:v>0.89213643137299803</c:v>
                </c:pt>
                <c:pt idx="86">
                  <c:v>0.89309811015169294</c:v>
                </c:pt>
                <c:pt idx="87">
                  <c:v>0.89403108737385673</c:v>
                </c:pt>
                <c:pt idx="88">
                  <c:v>0.89493630642276578</c:v>
                </c:pt>
                <c:pt idx="89">
                  <c:v>0.89581467483857891</c:v>
                </c:pt>
                <c:pt idx="90">
                  <c:v>0.89666706594375056</c:v>
                </c:pt>
                <c:pt idx="91">
                  <c:v>0.89749432038091559</c:v>
                </c:pt>
                <c:pt idx="92">
                  <c:v>0.89829724756865503</c:v>
                </c:pt>
                <c:pt idx="93">
                  <c:v>0.89907662708019387</c:v>
                </c:pt>
                <c:pt idx="94">
                  <c:v>0.89983320994972549</c:v>
                </c:pt>
                <c:pt idx="95">
                  <c:v>0.90056771991075191</c:v>
                </c:pt>
                <c:pt idx="96">
                  <c:v>0.90128085457052409</c:v>
                </c:pt>
                <c:pt idx="97">
                  <c:v>0.90197328652440056</c:v>
                </c:pt>
                <c:pt idx="98">
                  <c:v>0.90264566441368199</c:v>
                </c:pt>
                <c:pt idx="99">
                  <c:v>0.90329861393024458</c:v>
                </c:pt>
                <c:pt idx="100">
                  <c:v>0.90393273877108316</c:v>
                </c:pt>
                <c:pt idx="101">
                  <c:v>0.90454862154566362</c:v>
                </c:pt>
                <c:pt idx="102">
                  <c:v>0.90514682463879703</c:v>
                </c:pt>
                <c:pt idx="103">
                  <c:v>0.90572789103157558</c:v>
                </c:pt>
                <c:pt idx="104">
                  <c:v>0.90629234508274892</c:v>
                </c:pt>
                <c:pt idx="105">
                  <c:v>0.9068406932727533</c:v>
                </c:pt>
                <c:pt idx="106">
                  <c:v>0.90737342491249229</c:v>
                </c:pt>
                <c:pt idx="107">
                  <c:v>0.9078910128188058</c:v>
                </c:pt>
                <c:pt idx="108">
                  <c:v>0.90839391395846425</c:v>
                </c:pt>
                <c:pt idx="109">
                  <c:v>0.90888257006240225</c:v>
                </c:pt>
                <c:pt idx="110">
                  <c:v>0.90935740821179889</c:v>
                </c:pt>
              </c:numCache>
            </c:numRef>
          </c:yVal>
          <c:smooth val="0"/>
          <c:extLst>
            <c:ext xmlns:c16="http://schemas.microsoft.com/office/drawing/2014/chart" uri="{C3380CC4-5D6E-409C-BE32-E72D297353CC}">
              <c16:uniqueId val="{00000000-12E6-4147-811C-A15771C65B7C}"/>
            </c:ext>
          </c:extLst>
        </c:ser>
        <c:dLbls>
          <c:showLegendKey val="0"/>
          <c:showVal val="0"/>
          <c:showCatName val="0"/>
          <c:showSerName val="0"/>
          <c:showPercent val="0"/>
          <c:showBubbleSize val="0"/>
        </c:dLbls>
        <c:axId val="914885888"/>
        <c:axId val="914886872"/>
      </c:scatterChart>
      <c:valAx>
        <c:axId val="914885888"/>
        <c:scaling>
          <c:orientation val="minMax"/>
        </c:scaling>
        <c:delete val="0"/>
        <c:axPos val="b"/>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6872"/>
        <c:crosses val="autoZero"/>
        <c:crossBetween val="midCat"/>
        <c:majorUnit val="10"/>
      </c:valAx>
      <c:valAx>
        <c:axId val="91488687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0_ " sourceLinked="0"/>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5888"/>
        <c:crosses val="autoZero"/>
        <c:crossBetween val="midCat"/>
        <c:majorUnit val="5.000000000000001E-2"/>
      </c:valAx>
      <c:spPr>
        <a:ln>
          <a:solidFill>
            <a:schemeClr val="tx1"/>
          </a:solidFill>
        </a:ln>
      </c:spPr>
    </c:plotArea>
    <c:plotVisOnly val="1"/>
    <c:dispBlanksAs val="gap"/>
    <c:showDLblsOverMax val="0"/>
  </c:chart>
  <c:spPr>
    <a:ln>
      <a:noFill/>
    </a:ln>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樹高</a:t>
            </a:r>
            <a:endParaRPr lang="en-US" altLang="ja-JP"/>
          </a:p>
        </c:rich>
      </c:tx>
      <c:layout>
        <c:manualLayout>
          <c:xMode val="edge"/>
          <c:yMode val="edge"/>
          <c:x val="0.47066666666666668"/>
          <c:y val="0"/>
        </c:manualLayout>
      </c:layout>
      <c:overlay val="0"/>
      <c:spPr>
        <a:noFill/>
        <a:ln>
          <a:noFill/>
        </a:ln>
        <a:effectLst/>
      </c:spPr>
    </c:title>
    <c:autoTitleDeleted val="0"/>
    <c:plotArea>
      <c:layout>
        <c:manualLayout>
          <c:layoutTarget val="inner"/>
          <c:xMode val="edge"/>
          <c:yMode val="edge"/>
          <c:x val="5.465718846999796E-2"/>
          <c:y val="9.1992885015109244E-2"/>
          <c:w val="0.90049254152509284"/>
          <c:h val="0.82443597874814123"/>
        </c:manualLayout>
      </c:layout>
      <c:scatterChart>
        <c:scatterStyle val="lineMarker"/>
        <c:varyColors val="0"/>
        <c:ser>
          <c:idx val="1"/>
          <c:order val="0"/>
          <c:tx>
            <c:v>条件①</c:v>
          </c:tx>
          <c:spPr>
            <a:ln>
              <a:solidFill>
                <a:schemeClr val="accent2"/>
              </a:solidFill>
            </a:ln>
          </c:spPr>
          <c:marker>
            <c:symbol val="none"/>
          </c:marker>
          <c:xVal>
            <c:numRef>
              <c:f>'a（自動）計算用'!$D$5:$D$115</c:f>
              <c:numCache>
                <c:formatCode>General</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'a（自動）計算用'!$G$5:$G$115</c:f>
              <c:numCache>
                <c:formatCode>0.0_ </c:formatCode>
                <c:ptCount val="111"/>
                <c:pt idx="0">
                  <c:v>7.005377668918638</c:v>
                </c:pt>
                <c:pt idx="1">
                  <c:v>7.6866187767008665</c:v>
                </c:pt>
                <c:pt idx="2">
                  <c:v>8.3560214438217386</c:v>
                </c:pt>
                <c:pt idx="3">
                  <c:v>9.0132564321920068</c:v>
                </c:pt>
                <c:pt idx="4">
                  <c:v>9.6580943635452208</c:v>
                </c:pt>
                <c:pt idx="5">
                  <c:v>10.290382189294702</c:v>
                </c:pt>
                <c:pt idx="6">
                  <c:v>10.910026199109787</c:v>
                </c:pt>
                <c:pt idx="7">
                  <c:v>11.516979531457144</c:v>
                </c:pt>
                <c:pt idx="8">
                  <c:v>12.111232869455735</c:v>
                </c:pt>
                <c:pt idx="9">
                  <c:v>12.692807439777415</c:v>
                </c:pt>
                <c:pt idx="10">
                  <c:v>13.261749704127018</c:v>
                </c:pt>
                <c:pt idx="11">
                  <c:v>13.818127308626075</c:v>
                </c:pt>
                <c:pt idx="12">
                  <c:v>14.362025973710765</c:v>
                </c:pt>
                <c:pt idx="13">
                  <c:v>14.893547087821741</c:v>
                </c:pt>
                <c:pt idx="14">
                  <c:v>15.412805825357026</c:v>
                </c:pt>
                <c:pt idx="15">
                  <c:v>15.919929651162615</c:v>
                </c:pt>
                <c:pt idx="16">
                  <c:v>16.415057105306442</c:v>
                </c:pt>
                <c:pt idx="17">
                  <c:v>16.898336786226629</c:v>
                </c:pt>
                <c:pt idx="18">
                  <c:v>17.369926469612402</c:v>
                </c:pt>
                <c:pt idx="19">
                  <c:v>17.829992315883583</c:v>
                </c:pt>
                <c:pt idx="20">
                  <c:v>18.278708131736447</c:v>
                </c:pt>
                <c:pt idx="21">
                  <c:v>18.716254661483859</c:v>
                </c:pt>
                <c:pt idx="22">
                  <c:v>19.142818892220774</c:v>
                </c:pt>
                <c:pt idx="23">
                  <c:v>19.558593363470184</c:v>
                </c:pt>
                <c:pt idx="24">
                  <c:v>19.963775477128916</c:v>
                </c:pt>
                <c:pt idx="25">
                  <c:v>20.358566807421841</c:v>
                </c:pt>
                <c:pt idx="26">
                  <c:v>20.743172413359066</c:v>
                </c:pt>
                <c:pt idx="27">
                  <c:v>21.117800158034136</c:v>
                </c:pt>
                <c:pt idx="28">
                  <c:v>21.482660040158859</c:v>
                </c:pt>
                <c:pt idx="29">
                  <c:v>21.837963543650535</c:v>
                </c:pt>
                <c:pt idx="30">
                  <c:v>22.183923011010634</c:v>
                </c:pt>
                <c:pt idx="31">
                  <c:v>22.520751045788124</c:v>
                </c:pt>
                <c:pt idx="32">
                  <c:v>22.848659948719757</c:v>
                </c:pt>
                <c:pt idx="33">
                  <c:v>23.167861191282384</c:v>
                </c:pt>
                <c:pt idx="34">
                  <c:v>23.478564929459516</c:v>
                </c:pt>
                <c:pt idx="35">
                  <c:v>23.780979559582203</c:v>
                </c:pt>
                <c:pt idx="36">
                  <c:v>24.075311317201503</c:v>
                </c:pt>
                <c:pt idx="37">
                  <c:v>24.361763919122062</c:v>
                </c:pt>
                <c:pt idx="38">
                  <c:v>24.64053824799684</c:v>
                </c:pt>
                <c:pt idx="39">
                  <c:v>24.911832078263824</c:v>
                </c:pt>
                <c:pt idx="40">
                  <c:v>25.175839841701567</c:v>
                </c:pt>
                <c:pt idx="41">
                  <c:v>25.432752430488847</c:v>
                </c:pt>
                <c:pt idx="42">
                  <c:v>25.682757035368347</c:v>
                </c:pt>
                <c:pt idx="43">
                  <c:v>25.926037016324717</c:v>
                </c:pt>
                <c:pt idx="44">
                  <c:v>26.162771803082592</c:v>
                </c:pt>
                <c:pt idx="45">
                  <c:v>26.393136822696903</c:v>
                </c:pt>
                <c:pt idx="46">
                  <c:v>26.617303451534312</c:v>
                </c:pt>
                <c:pt idx="47">
                  <c:v>26.835438989018716</c:v>
                </c:pt>
                <c:pt idx="48">
                  <c:v>27.047706650624068</c:v>
                </c:pt>
                <c:pt idx="49">
                  <c:v>27.25426557773557</c:v>
                </c:pt>
                <c:pt idx="50">
                  <c:v>27.455270862155562</c:v>
                </c:pt>
                <c:pt idx="51">
                  <c:v>27.650873583197519</c:v>
                </c:pt>
                <c:pt idx="52">
                  <c:v>27.841220855483183</c:v>
                </c:pt>
                <c:pt idx="53">
                  <c:v>28.026455885730172</c:v>
                </c:pt>
                <c:pt idx="54">
                  <c:v>28.206718036985855</c:v>
                </c:pt>
                <c:pt idx="55">
                  <c:v>28.382142898926077</c:v>
                </c:pt>
                <c:pt idx="56">
                  <c:v>28.552862362990862</c:v>
                </c:pt>
                <c:pt idx="57">
                  <c:v>28.719004701274081</c:v>
                </c:pt>
                <c:pt idx="58">
                  <c:v>28.880694648217556</c:v>
                </c:pt>
                <c:pt idx="59">
                  <c:v>29.038053484283193</c:v>
                </c:pt>
                <c:pt idx="60">
                  <c:v>29.191199120888513</c:v>
                </c:pt>
                <c:pt idx="61">
                  <c:v>29.340246185992296</c:v>
                </c:pt>
                <c:pt idx="62">
                  <c:v>29.485306109807635</c:v>
                </c:pt>
                <c:pt idx="63">
                  <c:v>29.62648721020097</c:v>
                </c:pt>
                <c:pt idx="64">
                  <c:v>29.763894777407348</c:v>
                </c:pt>
                <c:pt idx="65">
                  <c:v>29.897631157755349</c:v>
                </c:pt>
                <c:pt idx="66">
                  <c:v>30.027795836151071</c:v>
                </c:pt>
                <c:pt idx="67">
                  <c:v>30.154485517118435</c:v>
                </c:pt>
                <c:pt idx="68">
                  <c:v>30.277794204235548</c:v>
                </c:pt>
                <c:pt idx="69">
                  <c:v>30.397813277842882</c:v>
                </c:pt>
                <c:pt idx="70">
                  <c:v>30.514631570930302</c:v>
                </c:pt>
                <c:pt idx="71">
                  <c:v>30.628335443136372</c:v>
                </c:pt>
                <c:pt idx="72">
                  <c:v>30.739008852816088</c:v>
                </c:pt>
                <c:pt idx="73">
                  <c:v>30.846733427152206</c:v>
                </c:pt>
                <c:pt idx="74">
                  <c:v>30.951588530301056</c:v>
                </c:pt>
                <c:pt idx="75">
                  <c:v>31.053651329577239</c:v>
                </c:pt>
                <c:pt idx="76">
                  <c:v>31.152996859692191</c:v>
                </c:pt>
                <c:pt idx="77">
                  <c:v>31.249698085070811</c:v>
                </c:pt>
                <c:pt idx="78">
                  <c:v>31.34382596027713</c:v>
                </c:pt>
                <c:pt idx="79">
                  <c:v>31.435449488585853</c:v>
                </c:pt>
                <c:pt idx="80">
                  <c:v>31.52463577874099</c:v>
                </c:pt>
                <c:pt idx="81">
                  <c:v>31.611450099945927</c:v>
                </c:pt>
                <c:pt idx="82">
                  <c:v>31.695955935131838</c:v>
                </c:pt>
                <c:pt idx="83">
                  <c:v>31.778215032552865</c:v>
                </c:pt>
                <c:pt idx="84">
                  <c:v>31.858287455757491</c:v>
                </c:pt>
                <c:pt idx="85">
                  <c:v>31.936231631986093</c:v>
                </c:pt>
                <c:pt idx="86">
                  <c:v>32.012104399044432</c:v>
                </c:pt>
                <c:pt idx="87">
                  <c:v>32.085961050702814</c:v>
                </c:pt>
                <c:pt idx="88">
                  <c:v>32.157855380669837</c:v>
                </c:pt>
                <c:pt idx="89">
                  <c:v>32.227839725188701</c:v>
                </c:pt>
                <c:pt idx="90">
                  <c:v>32.295965004303454</c:v>
                </c:pt>
                <c:pt idx="91">
                  <c:v>32.362280761840779</c:v>
                </c:pt>
                <c:pt idx="92">
                  <c:v>32.426835204152212</c:v>
                </c:pt>
                <c:pt idx="93">
                  <c:v>32.489675237659988</c:v>
                </c:pt>
                <c:pt idx="94">
                  <c:v>32.550846505248529</c:v>
                </c:pt>
                <c:pt idx="95">
                  <c:v>32.610393421542035</c:v>
                </c:pt>
                <c:pt idx="96">
                  <c:v>32.668359207107322</c:v>
                </c:pt>
                <c:pt idx="97">
                  <c:v>32.724785921619691</c:v>
                </c:pt>
                <c:pt idx="98">
                  <c:v>32.779714496027857</c:v>
                </c:pt>
                <c:pt idx="99">
                  <c:v>32.833184763753202</c:v>
                </c:pt>
                <c:pt idx="100">
                  <c:v>32.885235490956617</c:v>
                </c:pt>
                <c:pt idx="101">
                  <c:v>32.935904405905355</c:v>
                </c:pt>
                <c:pt idx="102">
                  <c:v>32.985228227470728</c:v>
                </c:pt>
                <c:pt idx="103">
                  <c:v>33.033242692786509</c:v>
                </c:pt>
                <c:pt idx="104">
                  <c:v>33.079982584096534</c:v>
                </c:pt>
                <c:pt idx="105">
                  <c:v>33.1254817548188</c:v>
                </c:pt>
                <c:pt idx="106">
                  <c:v>33.169773154852507</c:v>
                </c:pt>
                <c:pt idx="107">
                  <c:v>33.212888855153139</c:v>
                </c:pt>
                <c:pt idx="108">
                  <c:v>33.254860071599857</c:v>
                </c:pt>
                <c:pt idx="109">
                  <c:v>33.295717188178457</c:v>
                </c:pt>
                <c:pt idx="110">
                  <c:v>33.335489779502211</c:v>
                </c:pt>
              </c:numCache>
            </c:numRef>
          </c:yVal>
          <c:smooth val="0"/>
          <c:extLst>
            <c:ext xmlns:c16="http://schemas.microsoft.com/office/drawing/2014/chart" uri="{C3380CC4-5D6E-409C-BE32-E72D297353CC}">
              <c16:uniqueId val="{00000000-5271-4EB1-A0C5-C139C10965AE}"/>
            </c:ext>
          </c:extLst>
        </c:ser>
        <c:dLbls>
          <c:showLegendKey val="0"/>
          <c:showVal val="0"/>
          <c:showCatName val="0"/>
          <c:showSerName val="0"/>
          <c:showPercent val="0"/>
          <c:showBubbleSize val="0"/>
        </c:dLbls>
        <c:axId val="914885888"/>
        <c:axId val="914886872"/>
      </c:scatterChart>
      <c:valAx>
        <c:axId val="914885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6872"/>
        <c:crosses val="autoZero"/>
        <c:crossBetween val="midCat"/>
        <c:majorUnit val="10"/>
      </c:valAx>
      <c:valAx>
        <c:axId val="914886872"/>
        <c:scaling>
          <c:orientation val="minMax"/>
          <c:max val="5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5888"/>
        <c:crosses val="autoZero"/>
        <c:crossBetween val="midCat"/>
        <c:majorUnit val="10"/>
      </c:valAx>
      <c:spPr>
        <a:ln>
          <a:solidFill>
            <a:schemeClr val="tx1"/>
          </a:solidFill>
        </a:ln>
      </c:spPr>
    </c:plotArea>
    <c:plotVisOnly val="1"/>
    <c:dispBlanksAs val="gap"/>
    <c:showDLblsOverMax val="0"/>
  </c:chart>
  <c:spPr>
    <a:ln>
      <a:noFill/>
    </a:ln>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直径</a:t>
            </a:r>
            <a:endParaRPr lang="en-US" altLang="ja-JP"/>
          </a:p>
        </c:rich>
      </c:tx>
      <c:layout>
        <c:manualLayout>
          <c:xMode val="edge"/>
          <c:yMode val="edge"/>
          <c:x val="0.47066666666666668"/>
          <c:y val="0"/>
        </c:manualLayout>
      </c:layout>
      <c:overlay val="0"/>
      <c:spPr>
        <a:noFill/>
        <a:ln>
          <a:noFill/>
        </a:ln>
        <a:effectLst/>
      </c:spPr>
    </c:title>
    <c:autoTitleDeleted val="0"/>
    <c:plotArea>
      <c:layout>
        <c:manualLayout>
          <c:layoutTarget val="inner"/>
          <c:xMode val="edge"/>
          <c:yMode val="edge"/>
          <c:x val="5.465718846999796E-2"/>
          <c:y val="9.1992885015109244E-2"/>
          <c:w val="0.90049254152509284"/>
          <c:h val="0.82443597874814123"/>
        </c:manualLayout>
      </c:layout>
      <c:scatterChart>
        <c:scatterStyle val="lineMarker"/>
        <c:varyColors val="0"/>
        <c:ser>
          <c:idx val="1"/>
          <c:order val="0"/>
          <c:tx>
            <c:v>条件①</c:v>
          </c:tx>
          <c:marker>
            <c:symbol val="none"/>
          </c:marker>
          <c:xVal>
            <c:numRef>
              <c:f>'a（自動）計算用'!$D$121:$D$143</c:f>
              <c:numCache>
                <c:formatCode>General</c:formatCode>
                <c:ptCount val="23"/>
                <c:pt idx="0">
                  <c:v>10</c:v>
                </c:pt>
                <c:pt idx="1">
                  <c:v>15</c:v>
                </c:pt>
                <c:pt idx="2">
                  <c:v>20</c:v>
                </c:pt>
                <c:pt idx="3">
                  <c:v>25</c:v>
                </c:pt>
                <c:pt idx="4">
                  <c:v>30</c:v>
                </c:pt>
                <c:pt idx="5">
                  <c:v>35</c:v>
                </c:pt>
                <c:pt idx="6">
                  <c:v>40</c:v>
                </c:pt>
                <c:pt idx="7">
                  <c:v>45</c:v>
                </c:pt>
                <c:pt idx="8">
                  <c:v>50</c:v>
                </c:pt>
                <c:pt idx="9">
                  <c:v>55</c:v>
                </c:pt>
                <c:pt idx="10">
                  <c:v>60</c:v>
                </c:pt>
                <c:pt idx="11">
                  <c:v>65</c:v>
                </c:pt>
                <c:pt idx="12">
                  <c:v>70</c:v>
                </c:pt>
                <c:pt idx="13">
                  <c:v>75</c:v>
                </c:pt>
                <c:pt idx="14">
                  <c:v>80</c:v>
                </c:pt>
                <c:pt idx="15">
                  <c:v>85</c:v>
                </c:pt>
                <c:pt idx="16">
                  <c:v>90</c:v>
                </c:pt>
                <c:pt idx="17">
                  <c:v>95</c:v>
                </c:pt>
                <c:pt idx="18">
                  <c:v>100</c:v>
                </c:pt>
                <c:pt idx="19">
                  <c:v>105</c:v>
                </c:pt>
                <c:pt idx="20">
                  <c:v>110</c:v>
                </c:pt>
                <c:pt idx="21">
                  <c:v>115</c:v>
                </c:pt>
                <c:pt idx="22">
                  <c:v>120</c:v>
                </c:pt>
              </c:numCache>
            </c:numRef>
          </c:xVal>
          <c:yVal>
            <c:numRef>
              <c:f>'a（自動）計算用'!$I$121:$I$143</c:f>
              <c:numCache>
                <c:formatCode>0.0_ </c:formatCode>
                <c:ptCount val="23"/>
                <c:pt idx="0">
                  <c:v>11.138932082557449</c:v>
                </c:pt>
                <c:pt idx="1">
                  <c:v>14.15072273584609</c:v>
                </c:pt>
                <c:pt idx="2">
                  <c:v>18.373665098837925</c:v>
                </c:pt>
                <c:pt idx="3">
                  <c:v>22.542107957952606</c:v>
                </c:pt>
                <c:pt idx="4">
                  <c:v>24.239799428023662</c:v>
                </c:pt>
                <c:pt idx="5">
                  <c:v>28.461133192967722</c:v>
                </c:pt>
                <c:pt idx="6">
                  <c:v>29.770326614206979</c:v>
                </c:pt>
                <c:pt idx="7">
                  <c:v>30.828433967991618</c:v>
                </c:pt>
                <c:pt idx="8">
                  <c:v>34.965136950983052</c:v>
                </c:pt>
                <c:pt idx="9">
                  <c:v>35.845303961474485</c:v>
                </c:pt>
                <c:pt idx="10">
                  <c:v>36.580822789173901</c:v>
                </c:pt>
                <c:pt idx="11">
                  <c:v>37.19941436109827</c:v>
                </c:pt>
                <c:pt idx="12">
                  <c:v>37.722557127258767</c:v>
                </c:pt>
                <c:pt idx="13">
                  <c:v>38.167084833956942</c:v>
                </c:pt>
                <c:pt idx="14">
                  <c:v>38.546343624815997</c:v>
                </c:pt>
                <c:pt idx="15">
                  <c:v>42.711905271695571</c:v>
                </c:pt>
                <c:pt idx="16">
                  <c:v>43.053219760071975</c:v>
                </c:pt>
                <c:pt idx="17">
                  <c:v>43.34745071641025</c:v>
                </c:pt>
                <c:pt idx="18">
                  <c:v>43.601576528755324</c:v>
                </c:pt>
                <c:pt idx="19">
                  <c:v>43.82142064910196</c:v>
                </c:pt>
                <c:pt idx="20">
                  <c:v>44.011872080202394</c:v>
                </c:pt>
                <c:pt idx="21">
                  <c:v>44.177056988530403</c:v>
                </c:pt>
                <c:pt idx="22">
                  <c:v>44.320473741841305</c:v>
                </c:pt>
              </c:numCache>
            </c:numRef>
          </c:yVal>
          <c:smooth val="0"/>
          <c:extLst>
            <c:ext xmlns:c16="http://schemas.microsoft.com/office/drawing/2014/chart" uri="{C3380CC4-5D6E-409C-BE32-E72D297353CC}">
              <c16:uniqueId val="{00000000-A8BE-438C-B404-141D51C054BE}"/>
            </c:ext>
          </c:extLst>
        </c:ser>
        <c:dLbls>
          <c:showLegendKey val="0"/>
          <c:showVal val="0"/>
          <c:showCatName val="0"/>
          <c:showSerName val="0"/>
          <c:showPercent val="0"/>
          <c:showBubbleSize val="0"/>
        </c:dLbls>
        <c:axId val="914885888"/>
        <c:axId val="914886872"/>
      </c:scatterChart>
      <c:valAx>
        <c:axId val="914885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6872"/>
        <c:crosses val="autoZero"/>
        <c:crossBetween val="midCat"/>
        <c:majorUnit val="10"/>
      </c:valAx>
      <c:valAx>
        <c:axId val="914886872"/>
        <c:scaling>
          <c:orientation val="minMax"/>
          <c:max val="7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5888"/>
        <c:crosses val="autoZero"/>
        <c:crossBetween val="midCat"/>
        <c:majorUnit val="10"/>
      </c:valAx>
      <c:spPr>
        <a:ln>
          <a:solidFill>
            <a:schemeClr val="tx1"/>
          </a:solidFill>
        </a:ln>
      </c:spPr>
    </c:plotArea>
    <c:plotVisOnly val="1"/>
    <c:dispBlanksAs val="gap"/>
    <c:showDLblsOverMax val="0"/>
  </c:chart>
  <c:spPr>
    <a:ln>
      <a:noFill/>
    </a:ln>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材積</a:t>
            </a:r>
            <a:endParaRPr lang="en-US" altLang="ja-JP"/>
          </a:p>
        </c:rich>
      </c:tx>
      <c:layout>
        <c:manualLayout>
          <c:xMode val="edge"/>
          <c:yMode val="edge"/>
          <c:x val="0.47066666666666668"/>
          <c:y val="0"/>
        </c:manualLayout>
      </c:layout>
      <c:overlay val="0"/>
      <c:spPr>
        <a:noFill/>
        <a:ln>
          <a:noFill/>
        </a:ln>
        <a:effectLst/>
      </c:spPr>
    </c:title>
    <c:autoTitleDeleted val="0"/>
    <c:plotArea>
      <c:layout>
        <c:manualLayout>
          <c:layoutTarget val="inner"/>
          <c:xMode val="edge"/>
          <c:yMode val="edge"/>
          <c:x val="5.465718846999796E-2"/>
          <c:y val="9.1992885015109244E-2"/>
          <c:w val="0.90049254152509284"/>
          <c:h val="0.82443597874814123"/>
        </c:manualLayout>
      </c:layout>
      <c:scatterChart>
        <c:scatterStyle val="lineMarker"/>
        <c:varyColors val="0"/>
        <c:ser>
          <c:idx val="1"/>
          <c:order val="0"/>
          <c:tx>
            <c:v>条件①</c:v>
          </c:tx>
          <c:marker>
            <c:symbol val="none"/>
          </c:marker>
          <c:xVal>
            <c:numRef>
              <c:f>'a（自動）計算用'!$D$5:$D$115</c:f>
              <c:numCache>
                <c:formatCode>General</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'a（自動）計算用'!$H$5:$H$115</c:f>
              <c:numCache>
                <c:formatCode>0.0_ </c:formatCode>
                <c:ptCount val="111"/>
                <c:pt idx="0">
                  <c:v>102.2800111677394</c:v>
                </c:pt>
                <c:pt idx="1">
                  <c:v>124.22331651364004</c:v>
                </c:pt>
                <c:pt idx="2">
                  <c:v>146.76866090703777</c:v>
                </c:pt>
                <c:pt idx="3">
                  <c:v>170.35142162858887</c:v>
                </c:pt>
                <c:pt idx="4">
                  <c:v>194.70162037952747</c:v>
                </c:pt>
                <c:pt idx="5">
                  <c:v>219.66196464449416</c:v>
                </c:pt>
                <c:pt idx="6">
                  <c:v>245.09492476727775</c:v>
                </c:pt>
                <c:pt idx="7">
                  <c:v>270.88036921106317</c:v>
                </c:pt>
                <c:pt idx="8">
                  <c:v>296.91335942972614</c:v>
                </c:pt>
                <c:pt idx="9">
                  <c:v>276.81653041320635</c:v>
                </c:pt>
                <c:pt idx="10">
                  <c:v>301.82981555955007</c:v>
                </c:pt>
                <c:pt idx="11">
                  <c:v>327.06299130318308</c:v>
                </c:pt>
                <c:pt idx="12">
                  <c:v>352.43973137050881</c:v>
                </c:pt>
                <c:pt idx="13">
                  <c:v>377.89129155446136</c:v>
                </c:pt>
                <c:pt idx="14">
                  <c:v>403.35587238814719</c:v>
                </c:pt>
                <c:pt idx="15">
                  <c:v>367.6659335211275</c:v>
                </c:pt>
                <c:pt idx="16">
                  <c:v>390.70071763183762</c:v>
                </c:pt>
                <c:pt idx="17">
                  <c:v>413.69120120572887</c:v>
                </c:pt>
                <c:pt idx="18">
                  <c:v>436.59534263957698</c:v>
                </c:pt>
                <c:pt idx="19">
                  <c:v>459.37531823393408</c:v>
                </c:pt>
                <c:pt idx="20">
                  <c:v>481.99722450965783</c:v>
                </c:pt>
                <c:pt idx="21">
                  <c:v>504.43079637349933</c:v>
                </c:pt>
                <c:pt idx="22">
                  <c:v>526.64914064941865</c:v>
                </c:pt>
                <c:pt idx="23">
                  <c:v>548.62848431566863</c:v>
                </c:pt>
                <c:pt idx="24">
                  <c:v>489.18412756758204</c:v>
                </c:pt>
                <c:pt idx="25">
                  <c:v>508.65706167433763</c:v>
                </c:pt>
                <c:pt idx="26">
                  <c:v>527.90598854521966</c:v>
                </c:pt>
                <c:pt idx="27">
                  <c:v>546.9152111539986</c:v>
                </c:pt>
                <c:pt idx="28">
                  <c:v>565.67105933931236</c:v>
                </c:pt>
                <c:pt idx="29">
                  <c:v>584.16173400716696</c:v>
                </c:pt>
                <c:pt idx="30">
                  <c:v>602.37715849247434</c:v>
                </c:pt>
                <c:pt idx="31">
                  <c:v>620.30883729133245</c:v>
                </c:pt>
                <c:pt idx="32">
                  <c:v>637.94972230689098</c:v>
                </c:pt>
                <c:pt idx="33">
                  <c:v>655.29408668297219</c:v>
                </c:pt>
                <c:pt idx="34">
                  <c:v>672.33740623230506</c:v>
                </c:pt>
                <c:pt idx="35">
                  <c:v>689.07624840194057</c:v>
                </c:pt>
                <c:pt idx="36">
                  <c:v>705.50816865861123</c:v>
                </c:pt>
                <c:pt idx="37">
                  <c:v>721.63161412283648</c:v>
                </c:pt>
                <c:pt idx="38">
                  <c:v>737.44583423342112</c:v>
                </c:pt>
                <c:pt idx="39">
                  <c:v>650.57149919226401</c:v>
                </c:pt>
                <c:pt idx="40">
                  <c:v>664.42136386514278</c:v>
                </c:pt>
                <c:pt idx="41">
                  <c:v>678.00663425350751</c:v>
                </c:pt>
                <c:pt idx="42">
                  <c:v>691.32759919822149</c:v>
                </c:pt>
                <c:pt idx="43">
                  <c:v>704.38503311331465</c:v>
                </c:pt>
                <c:pt idx="44">
                  <c:v>717.18014423502291</c:v>
                </c:pt>
                <c:pt idx="45">
                  <c:v>729.71452716636975</c:v>
                </c:pt>
                <c:pt idx="46">
                  <c:v>741.99011945252948</c:v>
                </c:pt>
                <c:pt idx="47">
                  <c:v>754.00916192158274</c:v>
                </c:pt>
                <c:pt idx="48">
                  <c:v>765.77416252861701</c:v>
                </c:pt>
                <c:pt idx="49">
                  <c:v>777.28786344757305</c:v>
                </c:pt>
                <c:pt idx="50">
                  <c:v>788.55321116412358</c:v>
                </c:pt>
                <c:pt idx="51">
                  <c:v>799.57332933358043</c:v>
                </c:pt>
                <c:pt idx="52">
                  <c:v>810.35149417979665</c:v>
                </c:pt>
                <c:pt idx="53">
                  <c:v>820.89111222383553</c:v>
                </c:pt>
                <c:pt idx="54">
                  <c:v>831.19570014437591</c:v>
                </c:pt>
                <c:pt idx="55">
                  <c:v>841.26886658523256</c:v>
                </c:pt>
                <c:pt idx="56">
                  <c:v>851.1142957385191</c:v>
                </c:pt>
                <c:pt idx="57">
                  <c:v>860.73573254497035</c:v>
                </c:pt>
                <c:pt idx="58">
                  <c:v>870.13696936532108</c:v>
                </c:pt>
                <c:pt idx="59">
                  <c:v>879.32183398856603</c:v>
                </c:pt>
                <c:pt idx="60">
                  <c:v>888.29417885413932</c:v>
                </c:pt>
                <c:pt idx="61">
                  <c:v>897.05787137563289</c:v>
                </c:pt>
                <c:pt idx="62">
                  <c:v>905.61678526350647</c:v>
                </c:pt>
                <c:pt idx="63">
                  <c:v>913.97479275343824</c:v>
                </c:pt>
                <c:pt idx="64">
                  <c:v>922.13575765539815</c:v>
                </c:pt>
                <c:pt idx="65">
                  <c:v>930.10352914632563</c:v>
                </c:pt>
                <c:pt idx="66">
                  <c:v>937.88193623645282</c:v>
                </c:pt>
                <c:pt idx="67">
                  <c:v>945.47478284583337</c:v>
                </c:pt>
                <c:pt idx="68">
                  <c:v>952.88584343362413</c:v>
                </c:pt>
                <c:pt idx="69">
                  <c:v>960.11885912805951</c:v>
                </c:pt>
                <c:pt idx="70">
                  <c:v>967.17753431004644</c:v>
                </c:pt>
                <c:pt idx="71">
                  <c:v>974.06553360770101</c:v>
                </c:pt>
                <c:pt idx="72">
                  <c:v>980.786479263263</c:v>
                </c:pt>
                <c:pt idx="73">
                  <c:v>987.34394883746518</c:v>
                </c:pt>
                <c:pt idx="74">
                  <c:v>993.7414732197235</c:v>
                </c:pt>
                <c:pt idx="75">
                  <c:v>865.24334382579036</c:v>
                </c:pt>
                <c:pt idx="76">
                  <c:v>870.79327227381793</c:v>
                </c:pt>
                <c:pt idx="77">
                  <c:v>876.20865902420496</c:v>
                </c:pt>
                <c:pt idx="78">
                  <c:v>881.49239044306228</c:v>
                </c:pt>
                <c:pt idx="79">
                  <c:v>886.64731378064914</c:v>
                </c:pt>
                <c:pt idx="80">
                  <c:v>891.6762360462576</c:v>
                </c:pt>
                <c:pt idx="81">
                  <c:v>896.58192305055434</c:v>
                </c:pt>
                <c:pt idx="82">
                  <c:v>901.36709860084773</c:v>
                </c:pt>
                <c:pt idx="83">
                  <c:v>906.03444383600959</c:v>
                </c:pt>
                <c:pt idx="84">
                  <c:v>910.58659668887208</c:v>
                </c:pt>
                <c:pt idx="85">
                  <c:v>915.02615146500659</c:v>
                </c:pt>
                <c:pt idx="86">
                  <c:v>919.35565852765865</c:v>
                </c:pt>
                <c:pt idx="87">
                  <c:v>923.57762407951543</c:v>
                </c:pt>
                <c:pt idx="88">
                  <c:v>927.69451003272741</c:v>
                </c:pt>
                <c:pt idx="89">
                  <c:v>931.70873395930425</c:v>
                </c:pt>
                <c:pt idx="90">
                  <c:v>935.62266911468214</c:v>
                </c:pt>
                <c:pt idx="91">
                  <c:v>939.43864452779019</c:v>
                </c:pt>
                <c:pt idx="92">
                  <c:v>943.1589451515307</c:v>
                </c:pt>
                <c:pt idx="93">
                  <c:v>946.78581206804131</c:v>
                </c:pt>
                <c:pt idx="94">
                  <c:v>950.3214427435679</c:v>
                </c:pt>
                <c:pt idx="95">
                  <c:v>953.76799132818962</c:v>
                </c:pt>
                <c:pt idx="96">
                  <c:v>957.12756899598719</c:v>
                </c:pt>
                <c:pt idx="97">
                  <c:v>960.40224432164712</c:v>
                </c:pt>
                <c:pt idx="98">
                  <c:v>963.59404368972287</c:v>
                </c:pt>
                <c:pt idx="99">
                  <c:v>966.70495173315635</c:v>
                </c:pt>
                <c:pt idx="100">
                  <c:v>969.73691179786033</c:v>
                </c:pt>
                <c:pt idx="101">
                  <c:v>972.69182643045235</c:v>
                </c:pt>
                <c:pt idx="102">
                  <c:v>975.5715578864249</c:v>
                </c:pt>
                <c:pt idx="103">
                  <c:v>978.37792865626704</c:v>
                </c:pt>
                <c:pt idx="104">
                  <c:v>981.11272200725409</c:v>
                </c:pt>
                <c:pt idx="105">
                  <c:v>983.77768253875183</c:v>
                </c:pt>
                <c:pt idx="106">
                  <c:v>986.37451674911506</c:v>
                </c:pt>
                <c:pt idx="107">
                  <c:v>988.90489361235393</c:v>
                </c:pt>
                <c:pt idx="108">
                  <c:v>991.37044516291189</c:v>
                </c:pt>
                <c:pt idx="109">
                  <c:v>993.77276708703721</c:v>
                </c:pt>
                <c:pt idx="110">
                  <c:v>996.11341931930667</c:v>
                </c:pt>
              </c:numCache>
            </c:numRef>
          </c:yVal>
          <c:smooth val="0"/>
          <c:extLst>
            <c:ext xmlns:c16="http://schemas.microsoft.com/office/drawing/2014/chart" uri="{C3380CC4-5D6E-409C-BE32-E72D297353CC}">
              <c16:uniqueId val="{00000000-9D75-4EDD-A43D-76D5EE41DA76}"/>
            </c:ext>
          </c:extLst>
        </c:ser>
        <c:dLbls>
          <c:showLegendKey val="0"/>
          <c:showVal val="0"/>
          <c:showCatName val="0"/>
          <c:showSerName val="0"/>
          <c:showPercent val="0"/>
          <c:showBubbleSize val="0"/>
        </c:dLbls>
        <c:axId val="914885888"/>
        <c:axId val="914886872"/>
      </c:scatterChart>
      <c:valAx>
        <c:axId val="914885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6872"/>
        <c:crosses val="autoZero"/>
        <c:crossBetween val="midCat"/>
        <c:majorUnit val="10"/>
      </c:valAx>
      <c:valAx>
        <c:axId val="914886872"/>
        <c:scaling>
          <c:orientation val="minMax"/>
          <c:max val="15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5888"/>
        <c:crosses val="autoZero"/>
        <c:crossBetween val="midCat"/>
        <c:majorUnit val="100"/>
      </c:valAx>
      <c:spPr>
        <a:ln>
          <a:solidFill>
            <a:schemeClr val="tx1"/>
          </a:solidFill>
        </a:ln>
      </c:spPr>
    </c:plotArea>
    <c:plotVisOnly val="1"/>
    <c:dispBlanksAs val="gap"/>
    <c:showDLblsOverMax val="0"/>
  </c:chart>
  <c:spPr>
    <a:ln>
      <a:noFill/>
    </a:ln>
  </c:spPr>
  <c:txPr>
    <a:bodyPr/>
    <a:lstStyle/>
    <a:p>
      <a:pPr>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密度</a:t>
            </a:r>
            <a:endParaRPr lang="en-US" altLang="ja-JP"/>
          </a:p>
        </c:rich>
      </c:tx>
      <c:layout>
        <c:manualLayout>
          <c:xMode val="edge"/>
          <c:yMode val="edge"/>
          <c:x val="0.47066666666666668"/>
          <c:y val="0"/>
        </c:manualLayout>
      </c:layout>
      <c:overlay val="0"/>
      <c:spPr>
        <a:noFill/>
        <a:ln>
          <a:noFill/>
        </a:ln>
        <a:effectLst/>
      </c:spPr>
    </c:title>
    <c:autoTitleDeleted val="0"/>
    <c:plotArea>
      <c:layout>
        <c:manualLayout>
          <c:layoutTarget val="inner"/>
          <c:xMode val="edge"/>
          <c:yMode val="edge"/>
          <c:x val="5.465718846999796E-2"/>
          <c:y val="9.1992885015109244E-2"/>
          <c:w val="0.90049254152509284"/>
          <c:h val="0.82443597874814123"/>
        </c:manualLayout>
      </c:layout>
      <c:scatterChart>
        <c:scatterStyle val="lineMarker"/>
        <c:varyColors val="0"/>
        <c:ser>
          <c:idx val="1"/>
          <c:order val="0"/>
          <c:marker>
            <c:symbol val="none"/>
          </c:marker>
          <c:xVal>
            <c:numRef>
              <c:f>'a（自動）計算用'!$D$5:$D$115</c:f>
              <c:numCache>
                <c:formatCode>General</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'a（自動）計算用'!$F$5:$F$115</c:f>
              <c:numCache>
                <c:formatCode>0_ </c:formatCode>
                <c:ptCount val="111"/>
                <c:pt idx="0">
                  <c:v>2400</c:v>
                </c:pt>
                <c:pt idx="1">
                  <c:v>2400</c:v>
                </c:pt>
                <c:pt idx="2">
                  <c:v>2378.6995149385252</c:v>
                </c:pt>
                <c:pt idx="3">
                  <c:v>2359.9216915640836</c:v>
                </c:pt>
                <c:pt idx="4">
                  <c:v>2340.7662406907311</c:v>
                </c:pt>
                <c:pt idx="5">
                  <c:v>2321.3807070057342</c:v>
                </c:pt>
                <c:pt idx="6">
                  <c:v>2301.8907004546645</c:v>
                </c:pt>
                <c:pt idx="7">
                  <c:v>2282.402289098367</c:v>
                </c:pt>
                <c:pt idx="8">
                  <c:v>2263.0043655536742</c:v>
                </c:pt>
                <c:pt idx="9">
                  <c:v>1603.0043655536742</c:v>
                </c:pt>
                <c:pt idx="10">
                  <c:v>1603.0043655536742</c:v>
                </c:pt>
                <c:pt idx="11">
                  <c:v>1603.0043655536742</c:v>
                </c:pt>
                <c:pt idx="12">
                  <c:v>1603.0043655536742</c:v>
                </c:pt>
                <c:pt idx="13">
                  <c:v>1603.0043655536742</c:v>
                </c:pt>
                <c:pt idx="14">
                  <c:v>1603.0043655536742</c:v>
                </c:pt>
                <c:pt idx="15">
                  <c:v>1153.0043655536742</c:v>
                </c:pt>
                <c:pt idx="16">
                  <c:v>1153.0043655536742</c:v>
                </c:pt>
                <c:pt idx="17">
                  <c:v>1153.0043655536742</c:v>
                </c:pt>
                <c:pt idx="18">
                  <c:v>1153.0043655536742</c:v>
                </c:pt>
                <c:pt idx="19">
                  <c:v>1153.0043655536742</c:v>
                </c:pt>
                <c:pt idx="20">
                  <c:v>1153.0043655536742</c:v>
                </c:pt>
                <c:pt idx="21">
                  <c:v>1153.0043655536742</c:v>
                </c:pt>
                <c:pt idx="22">
                  <c:v>1153.0043655536742</c:v>
                </c:pt>
                <c:pt idx="23">
                  <c:v>1153.0043655536742</c:v>
                </c:pt>
                <c:pt idx="24">
                  <c:v>833.00436555367423</c:v>
                </c:pt>
                <c:pt idx="25">
                  <c:v>833.00436555367423</c:v>
                </c:pt>
                <c:pt idx="26">
                  <c:v>833.00436555367423</c:v>
                </c:pt>
                <c:pt idx="27">
                  <c:v>833.00436555367423</c:v>
                </c:pt>
                <c:pt idx="28">
                  <c:v>833.00436555367423</c:v>
                </c:pt>
                <c:pt idx="29">
                  <c:v>833.00436555367423</c:v>
                </c:pt>
                <c:pt idx="30">
                  <c:v>833.00436555367423</c:v>
                </c:pt>
                <c:pt idx="31">
                  <c:v>833.00436555367423</c:v>
                </c:pt>
                <c:pt idx="32">
                  <c:v>833.00436555367423</c:v>
                </c:pt>
                <c:pt idx="33">
                  <c:v>833.00436555367423</c:v>
                </c:pt>
                <c:pt idx="34">
                  <c:v>833.00436555367423</c:v>
                </c:pt>
                <c:pt idx="35">
                  <c:v>833.00436555367423</c:v>
                </c:pt>
                <c:pt idx="36">
                  <c:v>833.00436555367423</c:v>
                </c:pt>
                <c:pt idx="37">
                  <c:v>833.00436555367423</c:v>
                </c:pt>
                <c:pt idx="38">
                  <c:v>833.00436555367423</c:v>
                </c:pt>
                <c:pt idx="39">
                  <c:v>613.00436555367423</c:v>
                </c:pt>
                <c:pt idx="40">
                  <c:v>613.00436555367423</c:v>
                </c:pt>
                <c:pt idx="41">
                  <c:v>613.00436555367423</c:v>
                </c:pt>
                <c:pt idx="42">
                  <c:v>613.00436555367423</c:v>
                </c:pt>
                <c:pt idx="43">
                  <c:v>613.00436555367423</c:v>
                </c:pt>
                <c:pt idx="44">
                  <c:v>613.00436555367423</c:v>
                </c:pt>
                <c:pt idx="45">
                  <c:v>613.00436555367423</c:v>
                </c:pt>
                <c:pt idx="46">
                  <c:v>613.00436555367423</c:v>
                </c:pt>
                <c:pt idx="47">
                  <c:v>613.00436555367423</c:v>
                </c:pt>
                <c:pt idx="48">
                  <c:v>613.00436555367423</c:v>
                </c:pt>
                <c:pt idx="49">
                  <c:v>613.00436555367423</c:v>
                </c:pt>
                <c:pt idx="50">
                  <c:v>613.00436555367423</c:v>
                </c:pt>
                <c:pt idx="51">
                  <c:v>613.00436555367423</c:v>
                </c:pt>
                <c:pt idx="52">
                  <c:v>613.00436555367423</c:v>
                </c:pt>
                <c:pt idx="53">
                  <c:v>613.00436555367423</c:v>
                </c:pt>
                <c:pt idx="54">
                  <c:v>613.00436555367423</c:v>
                </c:pt>
                <c:pt idx="55">
                  <c:v>613.00436555367423</c:v>
                </c:pt>
                <c:pt idx="56">
                  <c:v>613.00436555367423</c:v>
                </c:pt>
                <c:pt idx="57">
                  <c:v>613.00436555367423</c:v>
                </c:pt>
                <c:pt idx="58">
                  <c:v>613.00436555367423</c:v>
                </c:pt>
                <c:pt idx="59">
                  <c:v>613.00436555367423</c:v>
                </c:pt>
                <c:pt idx="60">
                  <c:v>613.00436555367423</c:v>
                </c:pt>
                <c:pt idx="61">
                  <c:v>613.00436555367423</c:v>
                </c:pt>
                <c:pt idx="62">
                  <c:v>613.00436555367423</c:v>
                </c:pt>
                <c:pt idx="63">
                  <c:v>613.00436555367423</c:v>
                </c:pt>
                <c:pt idx="64">
                  <c:v>613.00436555367423</c:v>
                </c:pt>
                <c:pt idx="65">
                  <c:v>613.00436555367423</c:v>
                </c:pt>
                <c:pt idx="66">
                  <c:v>613.00436555367423</c:v>
                </c:pt>
                <c:pt idx="67">
                  <c:v>613.00436555367423</c:v>
                </c:pt>
                <c:pt idx="68">
                  <c:v>613.00436555367423</c:v>
                </c:pt>
                <c:pt idx="69">
                  <c:v>613.00436555367423</c:v>
                </c:pt>
                <c:pt idx="70">
                  <c:v>613.00436555367423</c:v>
                </c:pt>
                <c:pt idx="71">
                  <c:v>613.00436555367423</c:v>
                </c:pt>
                <c:pt idx="72">
                  <c:v>613.00436555367423</c:v>
                </c:pt>
                <c:pt idx="73">
                  <c:v>613.00436555367423</c:v>
                </c:pt>
                <c:pt idx="74">
                  <c:v>613.00436555367423</c:v>
                </c:pt>
                <c:pt idx="75">
                  <c:v>453.00436555367423</c:v>
                </c:pt>
                <c:pt idx="76">
                  <c:v>453.00436555367423</c:v>
                </c:pt>
                <c:pt idx="77">
                  <c:v>453.00436555367423</c:v>
                </c:pt>
                <c:pt idx="78">
                  <c:v>453.00436555367423</c:v>
                </c:pt>
                <c:pt idx="79">
                  <c:v>453.00436555367423</c:v>
                </c:pt>
                <c:pt idx="80">
                  <c:v>453.00436555367423</c:v>
                </c:pt>
                <c:pt idx="81">
                  <c:v>453.00436555367423</c:v>
                </c:pt>
                <c:pt idx="82">
                  <c:v>453.00436555367423</c:v>
                </c:pt>
                <c:pt idx="83">
                  <c:v>453.00436555367423</c:v>
                </c:pt>
                <c:pt idx="84">
                  <c:v>453.00436555367423</c:v>
                </c:pt>
                <c:pt idx="85">
                  <c:v>453.00436555367423</c:v>
                </c:pt>
                <c:pt idx="86">
                  <c:v>453.00436555367423</c:v>
                </c:pt>
                <c:pt idx="87">
                  <c:v>453.00436555367423</c:v>
                </c:pt>
                <c:pt idx="88">
                  <c:v>453.00436555367423</c:v>
                </c:pt>
                <c:pt idx="89">
                  <c:v>453.00436555367423</c:v>
                </c:pt>
                <c:pt idx="90">
                  <c:v>453.00436555367423</c:v>
                </c:pt>
                <c:pt idx="91">
                  <c:v>453.00436555367423</c:v>
                </c:pt>
                <c:pt idx="92">
                  <c:v>453.00436555367423</c:v>
                </c:pt>
                <c:pt idx="93">
                  <c:v>453.00436555367423</c:v>
                </c:pt>
                <c:pt idx="94">
                  <c:v>453.00436555367423</c:v>
                </c:pt>
                <c:pt idx="95">
                  <c:v>453.00436555367423</c:v>
                </c:pt>
                <c:pt idx="96">
                  <c:v>453.00436555367423</c:v>
                </c:pt>
                <c:pt idx="97">
                  <c:v>453.00436555367423</c:v>
                </c:pt>
                <c:pt idx="98">
                  <c:v>453.00436555367423</c:v>
                </c:pt>
                <c:pt idx="99">
                  <c:v>453.00436555367423</c:v>
                </c:pt>
                <c:pt idx="100">
                  <c:v>453.00436555367423</c:v>
                </c:pt>
                <c:pt idx="101">
                  <c:v>453.00436555367423</c:v>
                </c:pt>
                <c:pt idx="102">
                  <c:v>453.00436555367423</c:v>
                </c:pt>
                <c:pt idx="103">
                  <c:v>453.00436555367423</c:v>
                </c:pt>
                <c:pt idx="104">
                  <c:v>453.00436555367423</c:v>
                </c:pt>
                <c:pt idx="105">
                  <c:v>453.00436555367423</c:v>
                </c:pt>
                <c:pt idx="106">
                  <c:v>453.00436555367423</c:v>
                </c:pt>
                <c:pt idx="107">
                  <c:v>453.00436555367423</c:v>
                </c:pt>
                <c:pt idx="108">
                  <c:v>453.00436555367423</c:v>
                </c:pt>
                <c:pt idx="109">
                  <c:v>453.00436555367423</c:v>
                </c:pt>
                <c:pt idx="110">
                  <c:v>453.00436555367423</c:v>
                </c:pt>
              </c:numCache>
            </c:numRef>
          </c:yVal>
          <c:smooth val="0"/>
          <c:extLst>
            <c:ext xmlns:c16="http://schemas.microsoft.com/office/drawing/2014/chart" uri="{C3380CC4-5D6E-409C-BE32-E72D297353CC}">
              <c16:uniqueId val="{00000000-ABF0-4605-A2F4-F0D644763472}"/>
            </c:ext>
          </c:extLst>
        </c:ser>
        <c:dLbls>
          <c:showLegendKey val="0"/>
          <c:showVal val="0"/>
          <c:showCatName val="0"/>
          <c:showSerName val="0"/>
          <c:showPercent val="0"/>
          <c:showBubbleSize val="0"/>
        </c:dLbls>
        <c:axId val="914885888"/>
        <c:axId val="914886872"/>
      </c:scatterChart>
      <c:valAx>
        <c:axId val="914885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6872"/>
        <c:crosses val="autoZero"/>
        <c:crossBetween val="midCat"/>
        <c:majorUnit val="10"/>
      </c:valAx>
      <c:valAx>
        <c:axId val="914886872"/>
        <c:scaling>
          <c:orientation val="minMax"/>
          <c:max val="40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5888"/>
        <c:crosses val="autoZero"/>
        <c:crossBetween val="midCat"/>
        <c:majorUnit val="200"/>
      </c:valAx>
      <c:spPr>
        <a:ln>
          <a:solidFill>
            <a:schemeClr val="tx1"/>
          </a:solidFill>
        </a:ln>
      </c:spPr>
    </c:plotArea>
    <c:plotVisOnly val="1"/>
    <c:dispBlanksAs val="gap"/>
    <c:showDLblsOverMax val="0"/>
  </c:chart>
  <c:spPr>
    <a:ln>
      <a:noFill/>
    </a:ln>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Ry</a:t>
            </a:r>
          </a:p>
        </c:rich>
      </c:tx>
      <c:layout>
        <c:manualLayout>
          <c:xMode val="edge"/>
          <c:yMode val="edge"/>
          <c:x val="0.47066666666666668"/>
          <c:y val="0"/>
        </c:manualLayout>
      </c:layout>
      <c:overlay val="0"/>
      <c:spPr>
        <a:noFill/>
        <a:ln>
          <a:noFill/>
        </a:ln>
        <a:effectLst/>
      </c:spPr>
    </c:title>
    <c:autoTitleDeleted val="0"/>
    <c:plotArea>
      <c:layout>
        <c:manualLayout>
          <c:layoutTarget val="inner"/>
          <c:xMode val="edge"/>
          <c:yMode val="edge"/>
          <c:x val="5.465718846999796E-2"/>
          <c:y val="9.1992885015109244E-2"/>
          <c:w val="0.90049254152509284"/>
          <c:h val="0.82443597874814123"/>
        </c:manualLayout>
      </c:layout>
      <c:scatterChart>
        <c:scatterStyle val="lineMarker"/>
        <c:varyColors val="0"/>
        <c:ser>
          <c:idx val="1"/>
          <c:order val="0"/>
          <c:tx>
            <c:v>条件①</c:v>
          </c:tx>
          <c:marker>
            <c:symbol val="none"/>
          </c:marker>
          <c:xVal>
            <c:numRef>
              <c:f>'a（自動）計算用'!$D$5:$D$115</c:f>
              <c:numCache>
                <c:formatCode>General</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'a（自動）計算用'!$V$5:$V$115</c:f>
              <c:numCache>
                <c:formatCode>0.00_ </c:formatCode>
                <c:ptCount val="111"/>
                <c:pt idx="0">
                  <c:v>0.53912917556448103</c:v>
                </c:pt>
                <c:pt idx="1">
                  <c:v>0.57999766699305544</c:v>
                </c:pt>
                <c:pt idx="2">
                  <c:v>0.61440882489371806</c:v>
                </c:pt>
                <c:pt idx="3">
                  <c:v>0.64593872659071028</c:v>
                </c:pt>
                <c:pt idx="4">
                  <c:v>0.67451407995314949</c:v>
                </c:pt>
                <c:pt idx="5">
                  <c:v>0.70045488300666847</c:v>
                </c:pt>
                <c:pt idx="6">
                  <c:v>0.72404923070116278</c:v>
                </c:pt>
                <c:pt idx="7">
                  <c:v>0.74555378117272408</c:v>
                </c:pt>
                <c:pt idx="8">
                  <c:v>0.64972403633225939</c:v>
                </c:pt>
                <c:pt idx="9">
                  <c:v>0.67098239774208335</c:v>
                </c:pt>
                <c:pt idx="10">
                  <c:v>0.69086147246528273</c:v>
                </c:pt>
                <c:pt idx="11">
                  <c:v>0.70946600985806274</c:v>
                </c:pt>
                <c:pt idx="12">
                  <c:v>0.72689289741645191</c:v>
                </c:pt>
                <c:pt idx="13">
                  <c:v>0.74323142698437206</c:v>
                </c:pt>
                <c:pt idx="14">
                  <c:v>0.64812840840829267</c:v>
                </c:pt>
                <c:pt idx="15">
                  <c:v>0.66279727394700227</c:v>
                </c:pt>
                <c:pt idx="16">
                  <c:v>0.67668440657090057</c:v>
                </c:pt>
                <c:pt idx="17">
                  <c:v>0.68983846963764806</c:v>
                </c:pt>
                <c:pt idx="18">
                  <c:v>0.70230500203125479</c:v>
                </c:pt>
                <c:pt idx="19">
                  <c:v>0.71412656214812165</c:v>
                </c:pt>
                <c:pt idx="20">
                  <c:v>0.72534288605949482</c:v>
                </c:pt>
                <c:pt idx="21">
                  <c:v>0.73599105178174107</c:v>
                </c:pt>
                <c:pt idx="22">
                  <c:v>0.74610564407515667</c:v>
                </c:pt>
                <c:pt idx="23">
                  <c:v>0.64672884258404628</c:v>
                </c:pt>
                <c:pt idx="24">
                  <c:v>0.65601680991984401</c:v>
                </c:pt>
                <c:pt idx="25">
                  <c:v>0.66489317764128286</c:v>
                </c:pt>
                <c:pt idx="26">
                  <c:v>0.67337926932328995</c:v>
                </c:pt>
                <c:pt idx="27">
                  <c:v>0.68149524309255083</c:v>
                </c:pt>
                <c:pt idx="28">
                  <c:v>0.68926014634380539</c:v>
                </c:pt>
                <c:pt idx="29">
                  <c:v>0.69669197019456963</c:v>
                </c:pt>
                <c:pt idx="30">
                  <c:v>0.7038077030763662</c:v>
                </c:pt>
                <c:pt idx="31">
                  <c:v>0.71062338303679007</c:v>
                </c:pt>
                <c:pt idx="32">
                  <c:v>0.71715414845786385</c:v>
                </c:pt>
                <c:pt idx="33">
                  <c:v>0.723414286993314</c:v>
                </c:pt>
                <c:pt idx="34">
                  <c:v>0.72941728259923755</c:v>
                </c:pt>
                <c:pt idx="35">
                  <c:v>0.73517586058567297</c:v>
                </c:pt>
                <c:pt idx="36">
                  <c:v>0.74070203065569584</c:v>
                </c:pt>
                <c:pt idx="37">
                  <c:v>0.74600712792753343</c:v>
                </c:pt>
                <c:pt idx="38">
                  <c:v>0.64824320577467209</c:v>
                </c:pt>
                <c:pt idx="39">
                  <c:v>0.65320290505853573</c:v>
                </c:pt>
                <c:pt idx="40">
                  <c:v>0.65797987535215408</c:v>
                </c:pt>
                <c:pt idx="41">
                  <c:v>0.66258206748535997</c:v>
                </c:pt>
                <c:pt idx="42">
                  <c:v>0.66701704022011521</c:v>
                </c:pt>
                <c:pt idx="43">
                  <c:v>0.67129197945099583</c:v>
                </c:pt>
                <c:pt idx="44">
                  <c:v>0.67541371676842243</c:v>
                </c:pt>
                <c:pt idx="45">
                  <c:v>0.67938874735086574</c:v>
                </c:pt>
                <c:pt idx="46">
                  <c:v>0.68322324716305838</c:v>
                </c:pt>
                <c:pt idx="47">
                  <c:v>0.68692308944650393</c:v>
                </c:pt>
                <c:pt idx="48">
                  <c:v>0.69049386049651496</c:v>
                </c:pt>
                <c:pt idx="49">
                  <c:v>0.69394087472672206</c:v>
                </c:pt>
                <c:pt idx="50">
                  <c:v>0.69726918902764656</c:v>
                </c:pt>
                <c:pt idx="51">
                  <c:v>0.70048361643059642</c:v>
                </c:pt>
                <c:pt idx="52">
                  <c:v>0.7035887390919684</c:v>
                </c:pt>
                <c:pt idx="53">
                  <c:v>0.70658892061609324</c:v>
                </c:pt>
                <c:pt idx="54">
                  <c:v>0.70948831773714205</c:v>
                </c:pt>
                <c:pt idx="55">
                  <c:v>0.7122908913824274</c:v>
                </c:pt>
                <c:pt idx="56">
                  <c:v>0.71500041714071005</c:v>
                </c:pt>
                <c:pt idx="57">
                  <c:v>0.71762049515999071</c:v>
                </c:pt>
                <c:pt idx="58">
                  <c:v>0.72015455949974994</c:v>
                </c:pt>
                <c:pt idx="59">
                  <c:v>0.72260588696276662</c:v>
                </c:pt>
                <c:pt idx="60">
                  <c:v>0.72497760543156542</c:v>
                </c:pt>
                <c:pt idx="61">
                  <c:v>0.72727270173423064</c:v>
                </c:pt>
                <c:pt idx="62">
                  <c:v>0.72949402906385252</c:v>
                </c:pt>
                <c:pt idx="63">
                  <c:v>0.73164431397525254</c:v>
                </c:pt>
                <c:pt idx="64">
                  <c:v>0.73372616298191784</c:v>
                </c:pt>
                <c:pt idx="65">
                  <c:v>0.73574206877526271</c:v>
                </c:pt>
                <c:pt idx="66">
                  <c:v>0.73769441608748665</c:v>
                </c:pt>
                <c:pt idx="67">
                  <c:v>0.73958548721838546</c:v>
                </c:pt>
                <c:pt idx="68">
                  <c:v>0.74141746724557056</c:v>
                </c:pt>
                <c:pt idx="69">
                  <c:v>0.74319244893660497</c:v>
                </c:pt>
                <c:pt idx="70">
                  <c:v>0.74491243738065582</c:v>
                </c:pt>
                <c:pt idx="71">
                  <c:v>0.74657935435632816</c:v>
                </c:pt>
                <c:pt idx="72">
                  <c:v>0.74819504245147095</c:v>
                </c:pt>
                <c:pt idx="73">
                  <c:v>0.7497612689498635</c:v>
                </c:pt>
                <c:pt idx="74">
                  <c:v>0.64983396450404562</c:v>
                </c:pt>
                <c:pt idx="75">
                  <c:v>0.65132507762060143</c:v>
                </c:pt>
                <c:pt idx="76">
                  <c:v>0.6527719980717217</c:v>
                </c:pt>
                <c:pt idx="77">
                  <c:v>0.65417616126695755</c:v>
                </c:pt>
                <c:pt idx="78">
                  <c:v>0.65553894911890875</c:v>
                </c:pt>
                <c:pt idx="79">
                  <c:v>0.65686169239313574</c:v>
                </c:pt>
                <c:pt idx="80">
                  <c:v>0.65814567293860682</c:v>
                </c:pt>
                <c:pt idx="81">
                  <c:v>0.65939212580528206</c:v>
                </c:pt>
                <c:pt idx="82">
                  <c:v>0.66060224125507372</c:v>
                </c:pt>
                <c:pt idx="83">
                  <c:v>0.66177716667209197</c:v>
                </c:pt>
                <c:pt idx="84">
                  <c:v>0.66291800837774995</c:v>
                </c:pt>
                <c:pt idx="85">
                  <c:v>0.66402583335599641</c:v>
                </c:pt>
                <c:pt idx="86">
                  <c:v>0.66510167089363792</c:v>
                </c:pt>
                <c:pt idx="87">
                  <c:v>0.66614651414044157</c:v>
                </c:pt>
                <c:pt idx="88">
                  <c:v>0.66716132159342634</c:v>
                </c:pt>
                <c:pt idx="89">
                  <c:v>0.66814701850950931</c:v>
                </c:pt>
                <c:pt idx="90">
                  <c:v>0.66910449825042284</c:v>
                </c:pt>
                <c:pt idx="91">
                  <c:v>0.67003462356359378</c:v>
                </c:pt>
                <c:pt idx="92">
                  <c:v>0.67093822780246259</c:v>
                </c:pt>
                <c:pt idx="93">
                  <c:v>0.67181611608951464</c:v>
                </c:pt>
                <c:pt idx="94">
                  <c:v>0.67266906642510582</c:v>
                </c:pt>
                <c:pt idx="95">
                  <c:v>0.67349783074498371</c:v>
                </c:pt>
                <c:pt idx="96">
                  <c:v>0.67430313592923674</c:v>
                </c:pt>
                <c:pt idx="97">
                  <c:v>0.675085684765247</c:v>
                </c:pt>
                <c:pt idx="98">
                  <c:v>0.67584615686706528</c:v>
                </c:pt>
                <c:pt idx="99">
                  <c:v>0.67658520955349422</c:v>
                </c:pt>
                <c:pt idx="100">
                  <c:v>0.67730347868702678</c:v>
                </c:pt>
                <c:pt idx="101">
                  <c:v>0.67800157947566875</c:v>
                </c:pt>
                <c:pt idx="102">
                  <c:v>0.67868010723955174</c:v>
                </c:pt>
                <c:pt idx="103">
                  <c:v>0.67933963814413301</c:v>
                </c:pt>
                <c:pt idx="104">
                  <c:v>0.67998072990168845</c:v>
                </c:pt>
                <c:pt idx="105">
                  <c:v>0.68060392244268209</c:v>
                </c:pt>
                <c:pt idx="106">
                  <c:v>0.68120973855853939</c:v>
                </c:pt>
                <c:pt idx="107">
                  <c:v>0.68179868451722925</c:v>
                </c:pt>
                <c:pt idx="108">
                  <c:v>0.68237125065301363</c:v>
                </c:pt>
                <c:pt idx="109">
                  <c:v>0.68292791193162317</c:v>
                </c:pt>
                <c:pt idx="110">
                  <c:v>0.68346912849205887</c:v>
                </c:pt>
              </c:numCache>
            </c:numRef>
          </c:yVal>
          <c:smooth val="0"/>
          <c:extLst>
            <c:ext xmlns:c16="http://schemas.microsoft.com/office/drawing/2014/chart" uri="{C3380CC4-5D6E-409C-BE32-E72D297353CC}">
              <c16:uniqueId val="{00000000-A287-48DC-8535-EF4C787750E0}"/>
            </c:ext>
          </c:extLst>
        </c:ser>
        <c:dLbls>
          <c:showLegendKey val="0"/>
          <c:showVal val="0"/>
          <c:showCatName val="0"/>
          <c:showSerName val="0"/>
          <c:showPercent val="0"/>
          <c:showBubbleSize val="0"/>
        </c:dLbls>
        <c:axId val="914885888"/>
        <c:axId val="914886872"/>
      </c:scatterChart>
      <c:valAx>
        <c:axId val="914885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6872"/>
        <c:crosses val="autoZero"/>
        <c:crossBetween val="midCat"/>
        <c:majorUnit val="10"/>
      </c:valAx>
      <c:valAx>
        <c:axId val="91488687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0_ " sourceLinked="0"/>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5888"/>
        <c:crosses val="autoZero"/>
        <c:crossBetween val="midCat"/>
        <c:majorUnit val="5.000000000000001E-2"/>
      </c:valAx>
      <c:spPr>
        <a:ln>
          <a:solidFill>
            <a:schemeClr val="tx1"/>
          </a:solidFill>
        </a:ln>
      </c:spPr>
    </c:plotArea>
    <c:plotVisOnly val="1"/>
    <c:dispBlanksAs val="gap"/>
    <c:showDLblsOverMax val="0"/>
  </c:chart>
  <c:spPr>
    <a:ln>
      <a:noFill/>
    </a:ln>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樹高</a:t>
            </a:r>
            <a:endParaRPr lang="en-US" altLang="ja-JP"/>
          </a:p>
        </c:rich>
      </c:tx>
      <c:layout>
        <c:manualLayout>
          <c:xMode val="edge"/>
          <c:yMode val="edge"/>
          <c:x val="0.47066666666666668"/>
          <c:y val="0"/>
        </c:manualLayout>
      </c:layout>
      <c:overlay val="0"/>
      <c:spPr>
        <a:noFill/>
        <a:ln>
          <a:noFill/>
        </a:ln>
        <a:effectLst/>
      </c:spPr>
    </c:title>
    <c:autoTitleDeleted val="0"/>
    <c:plotArea>
      <c:layout>
        <c:manualLayout>
          <c:layoutTarget val="inner"/>
          <c:xMode val="edge"/>
          <c:yMode val="edge"/>
          <c:x val="5.465718846999796E-2"/>
          <c:y val="9.1992885015109244E-2"/>
          <c:w val="0.90049254152509284"/>
          <c:h val="0.82443597874814123"/>
        </c:manualLayout>
      </c:layout>
      <c:scatterChart>
        <c:scatterStyle val="lineMarker"/>
        <c:varyColors val="0"/>
        <c:ser>
          <c:idx val="0"/>
          <c:order val="0"/>
          <c:spPr>
            <a:ln>
              <a:solidFill>
                <a:schemeClr val="accent2"/>
              </a:solidFill>
            </a:ln>
          </c:spPr>
          <c:marker>
            <c:symbol val="none"/>
          </c:marker>
          <c:xVal>
            <c:numRef>
              <c:f>'b（手動）計算用'!$D$5:$D$115</c:f>
              <c:numCache>
                <c:formatCode>General</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'b（手動）計算用'!$G$5:$G$115</c:f>
              <c:numCache>
                <c:formatCode>0.0_ </c:formatCode>
                <c:ptCount val="111"/>
                <c:pt idx="0">
                  <c:v>7.005377668918638</c:v>
                </c:pt>
                <c:pt idx="1">
                  <c:v>7.6866187767008665</c:v>
                </c:pt>
                <c:pt idx="2">
                  <c:v>8.3560214438217386</c:v>
                </c:pt>
                <c:pt idx="3">
                  <c:v>9.0132564321920068</c:v>
                </c:pt>
                <c:pt idx="4">
                  <c:v>9.6580943635452208</c:v>
                </c:pt>
                <c:pt idx="5">
                  <c:v>10.290382189294702</c:v>
                </c:pt>
                <c:pt idx="6">
                  <c:v>10.910026199109787</c:v>
                </c:pt>
                <c:pt idx="7">
                  <c:v>11.516979531457144</c:v>
                </c:pt>
                <c:pt idx="8">
                  <c:v>12.111232869455735</c:v>
                </c:pt>
                <c:pt idx="9">
                  <c:v>12.692807439777415</c:v>
                </c:pt>
                <c:pt idx="10">
                  <c:v>13.261749704127018</c:v>
                </c:pt>
                <c:pt idx="11">
                  <c:v>13.818127308626075</c:v>
                </c:pt>
                <c:pt idx="12">
                  <c:v>14.362025973710765</c:v>
                </c:pt>
                <c:pt idx="13">
                  <c:v>14.893547087821741</c:v>
                </c:pt>
                <c:pt idx="14">
                  <c:v>15.412805825357026</c:v>
                </c:pt>
                <c:pt idx="15">
                  <c:v>15.919929651162615</c:v>
                </c:pt>
                <c:pt idx="16">
                  <c:v>16.415057105306442</c:v>
                </c:pt>
                <c:pt idx="17">
                  <c:v>16.898336786226629</c:v>
                </c:pt>
                <c:pt idx="18">
                  <c:v>17.369926469612402</c:v>
                </c:pt>
                <c:pt idx="19">
                  <c:v>17.829992315883583</c:v>
                </c:pt>
                <c:pt idx="20">
                  <c:v>18.278708131736447</c:v>
                </c:pt>
                <c:pt idx="21">
                  <c:v>18.716254661483859</c:v>
                </c:pt>
                <c:pt idx="22">
                  <c:v>19.142818892220774</c:v>
                </c:pt>
                <c:pt idx="23">
                  <c:v>19.558593363470184</c:v>
                </c:pt>
                <c:pt idx="24">
                  <c:v>19.963775477128916</c:v>
                </c:pt>
                <c:pt idx="25">
                  <c:v>20.358566807421841</c:v>
                </c:pt>
                <c:pt idx="26">
                  <c:v>20.743172413359066</c:v>
                </c:pt>
                <c:pt idx="27">
                  <c:v>21.117800158034136</c:v>
                </c:pt>
                <c:pt idx="28">
                  <c:v>21.482660040158859</c:v>
                </c:pt>
                <c:pt idx="29">
                  <c:v>21.837963543650535</c:v>
                </c:pt>
                <c:pt idx="30">
                  <c:v>22.183923011010634</c:v>
                </c:pt>
                <c:pt idx="31">
                  <c:v>22.520751045788124</c:v>
                </c:pt>
                <c:pt idx="32">
                  <c:v>22.848659948719757</c:v>
                </c:pt>
                <c:pt idx="33">
                  <c:v>23.167861191282384</c:v>
                </c:pt>
                <c:pt idx="34">
                  <c:v>23.478564929459516</c:v>
                </c:pt>
                <c:pt idx="35">
                  <c:v>23.780979559582203</c:v>
                </c:pt>
                <c:pt idx="36">
                  <c:v>24.075311317201503</c:v>
                </c:pt>
                <c:pt idx="37">
                  <c:v>24.361763919122062</c:v>
                </c:pt>
                <c:pt idx="38">
                  <c:v>24.64053824799684</c:v>
                </c:pt>
                <c:pt idx="39">
                  <c:v>24.911832078263824</c:v>
                </c:pt>
                <c:pt idx="40">
                  <c:v>25.175839841701567</c:v>
                </c:pt>
                <c:pt idx="41">
                  <c:v>25.432752430488847</c:v>
                </c:pt>
                <c:pt idx="42">
                  <c:v>25.682757035368347</c:v>
                </c:pt>
                <c:pt idx="43">
                  <c:v>25.926037016324717</c:v>
                </c:pt>
                <c:pt idx="44">
                  <c:v>26.162771803082592</c:v>
                </c:pt>
                <c:pt idx="45">
                  <c:v>26.393136822696903</c:v>
                </c:pt>
                <c:pt idx="46">
                  <c:v>26.617303451534312</c:v>
                </c:pt>
                <c:pt idx="47">
                  <c:v>26.835438989018716</c:v>
                </c:pt>
                <c:pt idx="48">
                  <c:v>27.047706650624068</c:v>
                </c:pt>
                <c:pt idx="49">
                  <c:v>27.25426557773557</c:v>
                </c:pt>
                <c:pt idx="50">
                  <c:v>27.455270862155562</c:v>
                </c:pt>
                <c:pt idx="51">
                  <c:v>27.650873583197519</c:v>
                </c:pt>
                <c:pt idx="52">
                  <c:v>27.841220855483183</c:v>
                </c:pt>
                <c:pt idx="53">
                  <c:v>28.026455885730172</c:v>
                </c:pt>
                <c:pt idx="54">
                  <c:v>28.206718036985855</c:v>
                </c:pt>
                <c:pt idx="55">
                  <c:v>28.382142898926077</c:v>
                </c:pt>
                <c:pt idx="56">
                  <c:v>28.552862362990862</c:v>
                </c:pt>
                <c:pt idx="57">
                  <c:v>28.719004701274081</c:v>
                </c:pt>
                <c:pt idx="58">
                  <c:v>28.880694648217556</c:v>
                </c:pt>
                <c:pt idx="59">
                  <c:v>29.038053484283193</c:v>
                </c:pt>
                <c:pt idx="60">
                  <c:v>29.191199120888513</c:v>
                </c:pt>
                <c:pt idx="61">
                  <c:v>29.340246185992296</c:v>
                </c:pt>
                <c:pt idx="62">
                  <c:v>29.485306109807635</c:v>
                </c:pt>
                <c:pt idx="63">
                  <c:v>29.62648721020097</c:v>
                </c:pt>
                <c:pt idx="64">
                  <c:v>29.763894777407348</c:v>
                </c:pt>
                <c:pt idx="65">
                  <c:v>29.897631157755349</c:v>
                </c:pt>
                <c:pt idx="66">
                  <c:v>30.027795836151071</c:v>
                </c:pt>
                <c:pt idx="67">
                  <c:v>30.154485517118435</c:v>
                </c:pt>
                <c:pt idx="68">
                  <c:v>30.277794204235548</c:v>
                </c:pt>
                <c:pt idx="69">
                  <c:v>30.397813277842882</c:v>
                </c:pt>
                <c:pt idx="70">
                  <c:v>30.514631570930302</c:v>
                </c:pt>
                <c:pt idx="71">
                  <c:v>30.628335443136372</c:v>
                </c:pt>
                <c:pt idx="72">
                  <c:v>30.739008852816088</c:v>
                </c:pt>
                <c:pt idx="73">
                  <c:v>30.846733427152206</c:v>
                </c:pt>
                <c:pt idx="74">
                  <c:v>30.951588530301056</c:v>
                </c:pt>
                <c:pt idx="75">
                  <c:v>31.053651329577239</c:v>
                </c:pt>
                <c:pt idx="76">
                  <c:v>31.152996859692191</c:v>
                </c:pt>
                <c:pt idx="77">
                  <c:v>31.249698085070811</c:v>
                </c:pt>
                <c:pt idx="78">
                  <c:v>31.34382596027713</c:v>
                </c:pt>
                <c:pt idx="79">
                  <c:v>31.435449488585853</c:v>
                </c:pt>
                <c:pt idx="80">
                  <c:v>31.52463577874099</c:v>
                </c:pt>
                <c:pt idx="81">
                  <c:v>31.611450099945927</c:v>
                </c:pt>
                <c:pt idx="82">
                  <c:v>31.695955935131838</c:v>
                </c:pt>
                <c:pt idx="83">
                  <c:v>31.778215032552865</c:v>
                </c:pt>
                <c:pt idx="84">
                  <c:v>31.858287455757491</c:v>
                </c:pt>
                <c:pt idx="85">
                  <c:v>31.936231631986093</c:v>
                </c:pt>
                <c:pt idx="86">
                  <c:v>32.012104399044432</c:v>
                </c:pt>
                <c:pt idx="87">
                  <c:v>32.085961050702814</c:v>
                </c:pt>
                <c:pt idx="88">
                  <c:v>32.157855380669837</c:v>
                </c:pt>
                <c:pt idx="89">
                  <c:v>32.227839725188701</c:v>
                </c:pt>
                <c:pt idx="90">
                  <c:v>32.295965004303454</c:v>
                </c:pt>
                <c:pt idx="91">
                  <c:v>32.362280761840779</c:v>
                </c:pt>
                <c:pt idx="92">
                  <c:v>32.426835204152212</c:v>
                </c:pt>
                <c:pt idx="93">
                  <c:v>32.489675237659988</c:v>
                </c:pt>
                <c:pt idx="94">
                  <c:v>32.550846505248529</c:v>
                </c:pt>
                <c:pt idx="95">
                  <c:v>32.610393421542035</c:v>
                </c:pt>
                <c:pt idx="96">
                  <c:v>32.668359207107322</c:v>
                </c:pt>
                <c:pt idx="97">
                  <c:v>32.724785921619691</c:v>
                </c:pt>
                <c:pt idx="98">
                  <c:v>32.779714496027857</c:v>
                </c:pt>
                <c:pt idx="99">
                  <c:v>32.833184763753202</c:v>
                </c:pt>
                <c:pt idx="100">
                  <c:v>32.885235490956617</c:v>
                </c:pt>
                <c:pt idx="101">
                  <c:v>32.935904405905355</c:v>
                </c:pt>
                <c:pt idx="102">
                  <c:v>32.985228227470728</c:v>
                </c:pt>
                <c:pt idx="103">
                  <c:v>33.033242692786509</c:v>
                </c:pt>
                <c:pt idx="104">
                  <c:v>33.079982584096534</c:v>
                </c:pt>
                <c:pt idx="105">
                  <c:v>33.1254817548188</c:v>
                </c:pt>
                <c:pt idx="106">
                  <c:v>33.169773154852507</c:v>
                </c:pt>
                <c:pt idx="107">
                  <c:v>33.212888855153139</c:v>
                </c:pt>
                <c:pt idx="108">
                  <c:v>33.254860071599857</c:v>
                </c:pt>
                <c:pt idx="109">
                  <c:v>33.295717188178457</c:v>
                </c:pt>
                <c:pt idx="110">
                  <c:v>33.335489779502211</c:v>
                </c:pt>
              </c:numCache>
            </c:numRef>
          </c:yVal>
          <c:smooth val="0"/>
          <c:extLst>
            <c:ext xmlns:c16="http://schemas.microsoft.com/office/drawing/2014/chart" uri="{C3380CC4-5D6E-409C-BE32-E72D297353CC}">
              <c16:uniqueId val="{00000000-140F-4F66-BBFD-36B2D1AA40A2}"/>
            </c:ext>
          </c:extLst>
        </c:ser>
        <c:dLbls>
          <c:showLegendKey val="0"/>
          <c:showVal val="0"/>
          <c:showCatName val="0"/>
          <c:showSerName val="0"/>
          <c:showPercent val="0"/>
          <c:showBubbleSize val="0"/>
        </c:dLbls>
        <c:axId val="914885888"/>
        <c:axId val="914886872"/>
      </c:scatterChart>
      <c:valAx>
        <c:axId val="914885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6872"/>
        <c:crosses val="autoZero"/>
        <c:crossBetween val="midCat"/>
        <c:majorUnit val="10"/>
      </c:valAx>
      <c:valAx>
        <c:axId val="914886872"/>
        <c:scaling>
          <c:orientation val="minMax"/>
          <c:max val="5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5888"/>
        <c:crosses val="autoZero"/>
        <c:crossBetween val="midCat"/>
        <c:majorUnit val="10"/>
      </c:valAx>
      <c:spPr>
        <a:ln>
          <a:solidFill>
            <a:schemeClr val="tx1"/>
          </a:solidFill>
        </a:ln>
      </c:spPr>
    </c:plotArea>
    <c:plotVisOnly val="1"/>
    <c:dispBlanksAs val="gap"/>
    <c:showDLblsOverMax val="0"/>
  </c:chart>
  <c:spPr>
    <a:ln>
      <a:noFill/>
    </a:ln>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直径</a:t>
            </a:r>
            <a:endParaRPr lang="en-US" altLang="ja-JP"/>
          </a:p>
        </c:rich>
      </c:tx>
      <c:layout>
        <c:manualLayout>
          <c:xMode val="edge"/>
          <c:yMode val="edge"/>
          <c:x val="0.47066666666666668"/>
          <c:y val="0"/>
        </c:manualLayout>
      </c:layout>
      <c:overlay val="0"/>
      <c:spPr>
        <a:noFill/>
        <a:ln>
          <a:noFill/>
        </a:ln>
        <a:effectLst/>
      </c:spPr>
    </c:title>
    <c:autoTitleDeleted val="0"/>
    <c:plotArea>
      <c:layout>
        <c:manualLayout>
          <c:layoutTarget val="inner"/>
          <c:xMode val="edge"/>
          <c:yMode val="edge"/>
          <c:x val="5.465718846999796E-2"/>
          <c:y val="9.1992885015109244E-2"/>
          <c:w val="0.90049254152509284"/>
          <c:h val="0.82443597874814123"/>
        </c:manualLayout>
      </c:layout>
      <c:scatterChart>
        <c:scatterStyle val="lineMarker"/>
        <c:varyColors val="0"/>
        <c:ser>
          <c:idx val="1"/>
          <c:order val="0"/>
          <c:tx>
            <c:v>条件①</c:v>
          </c:tx>
          <c:marker>
            <c:symbol val="none"/>
          </c:marker>
          <c:xVal>
            <c:numRef>
              <c:f>'b（手動）計算用'!$E$121:$E$143</c:f>
              <c:numCache>
                <c:formatCode>0_ </c:formatCode>
                <c:ptCount val="23"/>
                <c:pt idx="0">
                  <c:v>10</c:v>
                </c:pt>
                <c:pt idx="1">
                  <c:v>15</c:v>
                </c:pt>
                <c:pt idx="2">
                  <c:v>20</c:v>
                </c:pt>
                <c:pt idx="3">
                  <c:v>25</c:v>
                </c:pt>
                <c:pt idx="4">
                  <c:v>30</c:v>
                </c:pt>
                <c:pt idx="5">
                  <c:v>35</c:v>
                </c:pt>
                <c:pt idx="6">
                  <c:v>40</c:v>
                </c:pt>
                <c:pt idx="7">
                  <c:v>45</c:v>
                </c:pt>
                <c:pt idx="8">
                  <c:v>50</c:v>
                </c:pt>
                <c:pt idx="9">
                  <c:v>55</c:v>
                </c:pt>
                <c:pt idx="10">
                  <c:v>60</c:v>
                </c:pt>
                <c:pt idx="11">
                  <c:v>65</c:v>
                </c:pt>
                <c:pt idx="12">
                  <c:v>70</c:v>
                </c:pt>
                <c:pt idx="13">
                  <c:v>75</c:v>
                </c:pt>
                <c:pt idx="14">
                  <c:v>80</c:v>
                </c:pt>
                <c:pt idx="15">
                  <c:v>85</c:v>
                </c:pt>
                <c:pt idx="16">
                  <c:v>90</c:v>
                </c:pt>
                <c:pt idx="17">
                  <c:v>95</c:v>
                </c:pt>
                <c:pt idx="18">
                  <c:v>100</c:v>
                </c:pt>
                <c:pt idx="19">
                  <c:v>105</c:v>
                </c:pt>
                <c:pt idx="20">
                  <c:v>110</c:v>
                </c:pt>
                <c:pt idx="21">
                  <c:v>115</c:v>
                </c:pt>
                <c:pt idx="22">
                  <c:v>120</c:v>
                </c:pt>
              </c:numCache>
            </c:numRef>
          </c:xVal>
          <c:yVal>
            <c:numRef>
              <c:f>'b（手動）計算用'!$I$121:$I$143</c:f>
              <c:numCache>
                <c:formatCode>0.0_ </c:formatCode>
                <c:ptCount val="23"/>
                <c:pt idx="0">
                  <c:v>11.138932082557449</c:v>
                </c:pt>
                <c:pt idx="1">
                  <c:v>14.15072273584609</c:v>
                </c:pt>
                <c:pt idx="2">
                  <c:v>16.343495164728143</c:v>
                </c:pt>
                <c:pt idx="3">
                  <c:v>18.04537187006207</c:v>
                </c:pt>
                <c:pt idx="4">
                  <c:v>19.422304784112736</c:v>
                </c:pt>
                <c:pt idx="5">
                  <c:v>23.551802123586025</c:v>
                </c:pt>
                <c:pt idx="6">
                  <c:v>24.427211647899032</c:v>
                </c:pt>
                <c:pt idx="7">
                  <c:v>27.509615816911396</c:v>
                </c:pt>
                <c:pt idx="8">
                  <c:v>28.189344270051308</c:v>
                </c:pt>
                <c:pt idx="9">
                  <c:v>28.746908057465127</c:v>
                </c:pt>
                <c:pt idx="10">
                  <c:v>31.890739177455135</c:v>
                </c:pt>
                <c:pt idx="11">
                  <c:v>32.353200745050863</c:v>
                </c:pt>
                <c:pt idx="12">
                  <c:v>32.742686276885834</c:v>
                </c:pt>
                <c:pt idx="13">
                  <c:v>33.072496687320559</c:v>
                </c:pt>
                <c:pt idx="14">
                  <c:v>33.353062403968352</c:v>
                </c:pt>
                <c:pt idx="15">
                  <c:v>33.592667046640045</c:v>
                </c:pt>
                <c:pt idx="16">
                  <c:v>33.797966223996639</c:v>
                </c:pt>
                <c:pt idx="17">
                  <c:v>33.974363919594246</c:v>
                </c:pt>
                <c:pt idx="18">
                  <c:v>34.126289109021592</c:v>
                </c:pt>
                <c:pt idx="19">
                  <c:v>34.257401791260442</c:v>
                </c:pt>
                <c:pt idx="20">
                  <c:v>34.370748513622367</c:v>
                </c:pt>
                <c:pt idx="21">
                  <c:v>34.468881313684811</c:v>
                </c:pt>
                <c:pt idx="22">
                  <c:v>34.553949826257373</c:v>
                </c:pt>
              </c:numCache>
            </c:numRef>
          </c:yVal>
          <c:smooth val="0"/>
          <c:extLst>
            <c:ext xmlns:c16="http://schemas.microsoft.com/office/drawing/2014/chart" uri="{C3380CC4-5D6E-409C-BE32-E72D297353CC}">
              <c16:uniqueId val="{00000001-E27D-4946-AB96-EF4528C5CA68}"/>
            </c:ext>
          </c:extLst>
        </c:ser>
        <c:dLbls>
          <c:showLegendKey val="0"/>
          <c:showVal val="0"/>
          <c:showCatName val="0"/>
          <c:showSerName val="0"/>
          <c:showPercent val="0"/>
          <c:showBubbleSize val="0"/>
        </c:dLbls>
        <c:axId val="914885888"/>
        <c:axId val="914886872"/>
      </c:scatterChart>
      <c:valAx>
        <c:axId val="914885888"/>
        <c:scaling>
          <c:orientation val="minMax"/>
        </c:scaling>
        <c:delete val="0"/>
        <c:axPos val="b"/>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6872"/>
        <c:crosses val="autoZero"/>
        <c:crossBetween val="midCat"/>
        <c:majorUnit val="10"/>
      </c:valAx>
      <c:valAx>
        <c:axId val="914886872"/>
        <c:scaling>
          <c:orientation val="minMax"/>
          <c:max val="7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5888"/>
        <c:crosses val="autoZero"/>
        <c:crossBetween val="midCat"/>
        <c:majorUnit val="10"/>
      </c:valAx>
      <c:spPr>
        <a:ln>
          <a:solidFill>
            <a:schemeClr val="tx1"/>
          </a:solidFill>
        </a:ln>
      </c:spPr>
    </c:plotArea>
    <c:plotVisOnly val="1"/>
    <c:dispBlanksAs val="gap"/>
    <c:showDLblsOverMax val="0"/>
  </c:chart>
  <c:spPr>
    <a:ln>
      <a:noFill/>
    </a:ln>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ltLang="ja-JP"/>
              <a:t>ha</a:t>
            </a:r>
            <a:r>
              <a:rPr lang="ja-JP" altLang="en-US"/>
              <a:t>あたり</a:t>
            </a:r>
            <a:r>
              <a:rPr lang="ja-JP"/>
              <a:t>材積</a:t>
            </a:r>
            <a:endParaRPr lang="en-US"/>
          </a:p>
        </c:rich>
      </c:tx>
      <c:layout>
        <c:manualLayout>
          <c:xMode val="edge"/>
          <c:yMode val="edge"/>
          <c:x val="0.39659266550014588"/>
          <c:y val="0"/>
        </c:manualLayout>
      </c:layout>
      <c:overlay val="0"/>
      <c:spPr>
        <a:noFill/>
        <a:ln>
          <a:noFill/>
        </a:ln>
        <a:effectLst/>
      </c:spPr>
    </c:title>
    <c:autoTitleDeleted val="0"/>
    <c:plotArea>
      <c:layout>
        <c:manualLayout>
          <c:layoutTarget val="inner"/>
          <c:xMode val="edge"/>
          <c:yMode val="edge"/>
          <c:x val="0.13400955088947214"/>
          <c:y val="0.10563747713354013"/>
          <c:w val="0.90049254152509284"/>
          <c:h val="0.7702903126956846"/>
        </c:manualLayout>
      </c:layout>
      <c:scatterChart>
        <c:scatterStyle val="lineMarker"/>
        <c:varyColors val="0"/>
        <c:ser>
          <c:idx val="0"/>
          <c:order val="0"/>
          <c:tx>
            <c:v>自動</c:v>
          </c:tx>
          <c:marker>
            <c:symbol val="none"/>
          </c:marker>
          <c:xVal>
            <c:numRef>
              <c:f>'a（自動）計算用'!$E$5:$E$115</c:f>
              <c:numCache>
                <c:formatCode>General</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'a（自動）計算用'!$H$5:$H$115</c:f>
              <c:numCache>
                <c:formatCode>0.0_ </c:formatCode>
                <c:ptCount val="111"/>
                <c:pt idx="0">
                  <c:v>102.2800111677394</c:v>
                </c:pt>
                <c:pt idx="1">
                  <c:v>124.22331651364004</c:v>
                </c:pt>
                <c:pt idx="2">
                  <c:v>146.76866090703777</c:v>
                </c:pt>
                <c:pt idx="3">
                  <c:v>170.35142162858887</c:v>
                </c:pt>
                <c:pt idx="4">
                  <c:v>194.70162037952747</c:v>
                </c:pt>
                <c:pt idx="5">
                  <c:v>219.66196464449416</c:v>
                </c:pt>
                <c:pt idx="6">
                  <c:v>245.09492476727775</c:v>
                </c:pt>
                <c:pt idx="7">
                  <c:v>270.88036921106317</c:v>
                </c:pt>
                <c:pt idx="8">
                  <c:v>296.91335942972614</c:v>
                </c:pt>
                <c:pt idx="9">
                  <c:v>276.81653041320635</c:v>
                </c:pt>
                <c:pt idx="10">
                  <c:v>301.82981555955007</c:v>
                </c:pt>
                <c:pt idx="11">
                  <c:v>327.06299130318308</c:v>
                </c:pt>
                <c:pt idx="12">
                  <c:v>352.43973137050881</c:v>
                </c:pt>
                <c:pt idx="13">
                  <c:v>377.89129155446136</c:v>
                </c:pt>
                <c:pt idx="14">
                  <c:v>403.35587238814719</c:v>
                </c:pt>
                <c:pt idx="15">
                  <c:v>367.6659335211275</c:v>
                </c:pt>
                <c:pt idx="16">
                  <c:v>390.70071763183762</c:v>
                </c:pt>
                <c:pt idx="17">
                  <c:v>413.69120120572887</c:v>
                </c:pt>
                <c:pt idx="18">
                  <c:v>436.59534263957698</c:v>
                </c:pt>
                <c:pt idx="19">
                  <c:v>459.37531823393408</c:v>
                </c:pt>
                <c:pt idx="20">
                  <c:v>481.99722450965783</c:v>
                </c:pt>
                <c:pt idx="21">
                  <c:v>504.43079637349933</c:v>
                </c:pt>
                <c:pt idx="22">
                  <c:v>526.64914064941865</c:v>
                </c:pt>
                <c:pt idx="23">
                  <c:v>548.62848431566863</c:v>
                </c:pt>
                <c:pt idx="24">
                  <c:v>489.18412756758204</c:v>
                </c:pt>
                <c:pt idx="25">
                  <c:v>508.65706167433763</c:v>
                </c:pt>
                <c:pt idx="26">
                  <c:v>527.90598854521966</c:v>
                </c:pt>
                <c:pt idx="27">
                  <c:v>546.9152111539986</c:v>
                </c:pt>
                <c:pt idx="28">
                  <c:v>565.67105933931236</c:v>
                </c:pt>
                <c:pt idx="29">
                  <c:v>584.16173400716696</c:v>
                </c:pt>
                <c:pt idx="30">
                  <c:v>602.37715849247434</c:v>
                </c:pt>
                <c:pt idx="31">
                  <c:v>620.30883729133245</c:v>
                </c:pt>
                <c:pt idx="32">
                  <c:v>637.94972230689098</c:v>
                </c:pt>
                <c:pt idx="33">
                  <c:v>655.29408668297219</c:v>
                </c:pt>
                <c:pt idx="34">
                  <c:v>672.33740623230506</c:v>
                </c:pt>
                <c:pt idx="35">
                  <c:v>689.07624840194057</c:v>
                </c:pt>
                <c:pt idx="36">
                  <c:v>705.50816865861123</c:v>
                </c:pt>
                <c:pt idx="37">
                  <c:v>721.63161412283648</c:v>
                </c:pt>
                <c:pt idx="38">
                  <c:v>737.44583423342112</c:v>
                </c:pt>
                <c:pt idx="39">
                  <c:v>650.57149919226401</c:v>
                </c:pt>
                <c:pt idx="40">
                  <c:v>664.42136386514278</c:v>
                </c:pt>
                <c:pt idx="41">
                  <c:v>678.00663425350751</c:v>
                </c:pt>
                <c:pt idx="42">
                  <c:v>691.32759919822149</c:v>
                </c:pt>
                <c:pt idx="43">
                  <c:v>704.38503311331465</c:v>
                </c:pt>
                <c:pt idx="44">
                  <c:v>717.18014423502291</c:v>
                </c:pt>
                <c:pt idx="45">
                  <c:v>729.71452716636975</c:v>
                </c:pt>
                <c:pt idx="46">
                  <c:v>741.99011945252948</c:v>
                </c:pt>
                <c:pt idx="47">
                  <c:v>754.00916192158274</c:v>
                </c:pt>
                <c:pt idx="48">
                  <c:v>765.77416252861701</c:v>
                </c:pt>
                <c:pt idx="49">
                  <c:v>777.28786344757305</c:v>
                </c:pt>
                <c:pt idx="50">
                  <c:v>788.55321116412358</c:v>
                </c:pt>
                <c:pt idx="51">
                  <c:v>799.57332933358043</c:v>
                </c:pt>
                <c:pt idx="52">
                  <c:v>810.35149417979665</c:v>
                </c:pt>
                <c:pt idx="53">
                  <c:v>820.89111222383553</c:v>
                </c:pt>
                <c:pt idx="54">
                  <c:v>831.19570014437591</c:v>
                </c:pt>
                <c:pt idx="55">
                  <c:v>841.26886658523256</c:v>
                </c:pt>
                <c:pt idx="56">
                  <c:v>851.1142957385191</c:v>
                </c:pt>
                <c:pt idx="57">
                  <c:v>860.73573254497035</c:v>
                </c:pt>
                <c:pt idx="58">
                  <c:v>870.13696936532108</c:v>
                </c:pt>
                <c:pt idx="59">
                  <c:v>879.32183398856603</c:v>
                </c:pt>
                <c:pt idx="60">
                  <c:v>888.29417885413932</c:v>
                </c:pt>
                <c:pt idx="61">
                  <c:v>897.05787137563289</c:v>
                </c:pt>
                <c:pt idx="62">
                  <c:v>905.61678526350647</c:v>
                </c:pt>
                <c:pt idx="63">
                  <c:v>913.97479275343824</c:v>
                </c:pt>
                <c:pt idx="64">
                  <c:v>922.13575765539815</c:v>
                </c:pt>
                <c:pt idx="65">
                  <c:v>930.10352914632563</c:v>
                </c:pt>
                <c:pt idx="66">
                  <c:v>937.88193623645282</c:v>
                </c:pt>
                <c:pt idx="67">
                  <c:v>945.47478284583337</c:v>
                </c:pt>
                <c:pt idx="68">
                  <c:v>952.88584343362413</c:v>
                </c:pt>
                <c:pt idx="69">
                  <c:v>960.11885912805951</c:v>
                </c:pt>
                <c:pt idx="70">
                  <c:v>967.17753431004644</c:v>
                </c:pt>
                <c:pt idx="71">
                  <c:v>974.06553360770101</c:v>
                </c:pt>
                <c:pt idx="72">
                  <c:v>980.786479263263</c:v>
                </c:pt>
                <c:pt idx="73">
                  <c:v>987.34394883746518</c:v>
                </c:pt>
                <c:pt idx="74">
                  <c:v>993.7414732197235</c:v>
                </c:pt>
                <c:pt idx="75">
                  <c:v>865.24334382579036</c:v>
                </c:pt>
                <c:pt idx="76">
                  <c:v>870.79327227381793</c:v>
                </c:pt>
                <c:pt idx="77">
                  <c:v>876.20865902420496</c:v>
                </c:pt>
                <c:pt idx="78">
                  <c:v>881.49239044306228</c:v>
                </c:pt>
                <c:pt idx="79">
                  <c:v>886.64731378064914</c:v>
                </c:pt>
                <c:pt idx="80">
                  <c:v>891.6762360462576</c:v>
                </c:pt>
                <c:pt idx="81">
                  <c:v>896.58192305055434</c:v>
                </c:pt>
                <c:pt idx="82">
                  <c:v>901.36709860084773</c:v>
                </c:pt>
                <c:pt idx="83">
                  <c:v>906.03444383600959</c:v>
                </c:pt>
                <c:pt idx="84">
                  <c:v>910.58659668887208</c:v>
                </c:pt>
                <c:pt idx="85">
                  <c:v>915.02615146500659</c:v>
                </c:pt>
                <c:pt idx="86">
                  <c:v>919.35565852765865</c:v>
                </c:pt>
                <c:pt idx="87">
                  <c:v>923.57762407951543</c:v>
                </c:pt>
                <c:pt idx="88">
                  <c:v>927.69451003272741</c:v>
                </c:pt>
                <c:pt idx="89">
                  <c:v>931.70873395930425</c:v>
                </c:pt>
                <c:pt idx="90">
                  <c:v>935.62266911468214</c:v>
                </c:pt>
                <c:pt idx="91">
                  <c:v>939.43864452779019</c:v>
                </c:pt>
                <c:pt idx="92">
                  <c:v>943.1589451515307</c:v>
                </c:pt>
                <c:pt idx="93">
                  <c:v>946.78581206804131</c:v>
                </c:pt>
                <c:pt idx="94">
                  <c:v>950.3214427435679</c:v>
                </c:pt>
                <c:pt idx="95">
                  <c:v>953.76799132818962</c:v>
                </c:pt>
                <c:pt idx="96">
                  <c:v>957.12756899598719</c:v>
                </c:pt>
                <c:pt idx="97">
                  <c:v>960.40224432164712</c:v>
                </c:pt>
                <c:pt idx="98">
                  <c:v>963.59404368972287</c:v>
                </c:pt>
                <c:pt idx="99">
                  <c:v>966.70495173315635</c:v>
                </c:pt>
                <c:pt idx="100">
                  <c:v>969.73691179786033</c:v>
                </c:pt>
                <c:pt idx="101">
                  <c:v>972.69182643045235</c:v>
                </c:pt>
                <c:pt idx="102">
                  <c:v>975.5715578864249</c:v>
                </c:pt>
                <c:pt idx="103">
                  <c:v>978.37792865626704</c:v>
                </c:pt>
                <c:pt idx="104">
                  <c:v>981.11272200725409</c:v>
                </c:pt>
                <c:pt idx="105">
                  <c:v>983.77768253875183</c:v>
                </c:pt>
                <c:pt idx="106">
                  <c:v>986.37451674911506</c:v>
                </c:pt>
                <c:pt idx="107">
                  <c:v>988.90489361235393</c:v>
                </c:pt>
                <c:pt idx="108">
                  <c:v>991.37044516291189</c:v>
                </c:pt>
                <c:pt idx="109">
                  <c:v>993.77276708703721</c:v>
                </c:pt>
                <c:pt idx="110">
                  <c:v>996.11341931930667</c:v>
                </c:pt>
              </c:numCache>
            </c:numRef>
          </c:yVal>
          <c:smooth val="0"/>
          <c:extLst>
            <c:ext xmlns:c16="http://schemas.microsoft.com/office/drawing/2014/chart" uri="{C3380CC4-5D6E-409C-BE32-E72D297353CC}">
              <c16:uniqueId val="{00000001-F10F-4405-9C9A-1182DE9EB247}"/>
            </c:ext>
          </c:extLst>
        </c:ser>
        <c:ser>
          <c:idx val="1"/>
          <c:order val="1"/>
          <c:tx>
            <c:v>手動</c:v>
          </c:tx>
          <c:marker>
            <c:symbol val="none"/>
          </c:marker>
          <c:xVal>
            <c:numRef>
              <c:f>'b（手動）計算用'!$D$5:$D$115</c:f>
              <c:numCache>
                <c:formatCode>General</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'b（手動）計算用'!$H$5:$H$115</c:f>
              <c:numCache>
                <c:formatCode>0.0_ </c:formatCode>
                <c:ptCount val="111"/>
                <c:pt idx="0">
                  <c:v>102.2800111677394</c:v>
                </c:pt>
                <c:pt idx="1">
                  <c:v>124.22331651364004</c:v>
                </c:pt>
                <c:pt idx="2">
                  <c:v>146.76866090703777</c:v>
                </c:pt>
                <c:pt idx="3">
                  <c:v>170.35142162858887</c:v>
                </c:pt>
                <c:pt idx="4">
                  <c:v>194.70162037952747</c:v>
                </c:pt>
                <c:pt idx="5">
                  <c:v>219.66196464449416</c:v>
                </c:pt>
                <c:pt idx="6">
                  <c:v>245.09492476727775</c:v>
                </c:pt>
                <c:pt idx="7">
                  <c:v>270.88036921106317</c:v>
                </c:pt>
                <c:pt idx="8">
                  <c:v>296.91335942972614</c:v>
                </c:pt>
                <c:pt idx="9">
                  <c:v>323.10217185137168</c:v>
                </c:pt>
                <c:pt idx="10">
                  <c:v>349.36656442215394</c:v>
                </c:pt>
                <c:pt idx="11">
                  <c:v>375.63627903669754</c:v>
                </c:pt>
                <c:pt idx="12">
                  <c:v>401.8497588205708</c:v>
                </c:pt>
                <c:pt idx="13">
                  <c:v>427.95305457127449</c:v>
                </c:pt>
                <c:pt idx="14">
                  <c:v>453.89889415417747</c:v>
                </c:pt>
                <c:pt idx="15">
                  <c:v>479.64589023952368</c:v>
                </c:pt>
                <c:pt idx="16">
                  <c:v>505.15786429703888</c:v>
                </c:pt>
                <c:pt idx="17">
                  <c:v>530.4032675978408</c:v>
                </c:pt>
                <c:pt idx="18">
                  <c:v>555.35468277166194</c:v>
                </c:pt>
                <c:pt idx="19">
                  <c:v>579.98839206411412</c:v>
                </c:pt>
                <c:pt idx="20">
                  <c:v>604.28400076205753</c:v>
                </c:pt>
                <c:pt idx="21">
                  <c:v>553.65280486398251</c:v>
                </c:pt>
                <c:pt idx="22">
                  <c:v>577.10600989738703</c:v>
                </c:pt>
                <c:pt idx="23">
                  <c:v>600.27008861044362</c:v>
                </c:pt>
                <c:pt idx="24">
                  <c:v>623.12610548454222</c:v>
                </c:pt>
                <c:pt idx="25">
                  <c:v>645.6577675810679</c:v>
                </c:pt>
                <c:pt idx="26">
                  <c:v>667.85119866670391</c:v>
                </c:pt>
                <c:pt idx="27">
                  <c:v>689.69472876539942</c:v>
                </c:pt>
                <c:pt idx="28">
                  <c:v>711.17869805283431</c:v>
                </c:pt>
                <c:pt idx="29">
                  <c:v>732.29527417920644</c:v>
                </c:pt>
                <c:pt idx="30">
                  <c:v>753.03828223992923</c:v>
                </c:pt>
                <c:pt idx="31">
                  <c:v>711.72785869968254</c:v>
                </c:pt>
                <c:pt idx="32">
                  <c:v>730.86209724929176</c:v>
                </c:pt>
                <c:pt idx="33">
                  <c:v>749.6462682297913</c:v>
                </c:pt>
                <c:pt idx="34">
                  <c:v>768.0778502353603</c:v>
                </c:pt>
                <c:pt idx="35">
                  <c:v>786.15536229490056</c:v>
                </c:pt>
                <c:pt idx="36">
                  <c:v>803.87825623091862</c:v>
                </c:pt>
                <c:pt idx="37">
                  <c:v>821.24681741305517</c:v>
                </c:pt>
                <c:pt idx="38">
                  <c:v>838.26207350237883</c:v>
                </c:pt>
                <c:pt idx="39">
                  <c:v>854.92571076889703</c:v>
                </c:pt>
                <c:pt idx="40">
                  <c:v>871.23999755514399</c:v>
                </c:pt>
                <c:pt idx="41">
                  <c:v>887.20771445367052</c:v>
                </c:pt>
                <c:pt idx="42">
                  <c:v>902.832090765825</c:v>
                </c:pt>
                <c:pt idx="43">
                  <c:v>918.11674681329373</c:v>
                </c:pt>
                <c:pt idx="44">
                  <c:v>933.06564168197315</c:v>
                </c:pt>
                <c:pt idx="45">
                  <c:v>947.68302598946764</c:v>
                </c:pt>
                <c:pt idx="46">
                  <c:v>885.74771455717746</c:v>
                </c:pt>
                <c:pt idx="47">
                  <c:v>899.12347291313961</c:v>
                </c:pt>
                <c:pt idx="48">
                  <c:v>912.20209403078456</c:v>
                </c:pt>
                <c:pt idx="49">
                  <c:v>924.98781146581121</c:v>
                </c:pt>
                <c:pt idx="50">
                  <c:v>937.48501134342212</c:v>
                </c:pt>
                <c:pt idx="51">
                  <c:v>949.6982061890576</c:v>
                </c:pt>
                <c:pt idx="52">
                  <c:v>961.63201144937432</c:v>
                </c:pt>
                <c:pt idx="53">
                  <c:v>973.29112445815372</c:v>
                </c:pt>
                <c:pt idx="54">
                  <c:v>984.68030562012166</c:v>
                </c:pt>
                <c:pt idx="55">
                  <c:v>995.80436160353179</c:v>
                </c:pt>
                <c:pt idx="56">
                  <c:v>1006.6681303493801</c:v>
                </c:pt>
                <c:pt idx="57">
                  <c:v>1017.2764677214876</c:v>
                </c:pt>
                <c:pt idx="58">
                  <c:v>1027.6342356369712</c:v>
                </c:pt>
                <c:pt idx="59">
                  <c:v>1037.7462915310678</c:v>
                </c:pt>
                <c:pt idx="60">
                  <c:v>1047.6174790236453</c:v>
                </c:pt>
                <c:pt idx="61">
                  <c:v>1057.2526196671756</c:v>
                </c:pt>
                <c:pt idx="62">
                  <c:v>1066.656505667341</c:v>
                </c:pt>
                <c:pt idx="63">
                  <c:v>1075.833893478009</c:v>
                </c:pt>
                <c:pt idx="64">
                  <c:v>1084.7894981818608</c:v>
                </c:pt>
                <c:pt idx="65">
                  <c:v>1093.5279885767359</c:v>
                </c:pt>
                <c:pt idx="66">
                  <c:v>1102.0539828957105</c:v>
                </c:pt>
                <c:pt idx="67">
                  <c:v>1110.3720450961353</c:v>
                </c:pt>
                <c:pt idx="68">
                  <c:v>1118.4866816593867</c:v>
                </c:pt>
                <c:pt idx="69">
                  <c:v>1126.4023388489622</c:v>
                </c:pt>
                <c:pt idx="70">
                  <c:v>1134.1234003799025</c:v>
                </c:pt>
                <c:pt idx="71">
                  <c:v>1141.6541854572299</c:v>
                </c:pt>
                <c:pt idx="72">
                  <c:v>1148.9989471454599</c:v>
                </c:pt>
                <c:pt idx="73">
                  <c:v>1156.1618710350629</c:v>
                </c:pt>
                <c:pt idx="74">
                  <c:v>1163.1470741752223</c:v>
                </c:pt>
                <c:pt idx="75">
                  <c:v>1169.9586042453445</c:v>
                </c:pt>
                <c:pt idx="76">
                  <c:v>1176.6004389405396</c:v>
                </c:pt>
                <c:pt idx="77">
                  <c:v>1183.0764855488394</c:v>
                </c:pt>
                <c:pt idx="78">
                  <c:v>1189.3905807000701</c:v>
                </c:pt>
                <c:pt idx="79">
                  <c:v>1195.5464902683739</c:v>
                </c:pt>
                <c:pt idx="80">
                  <c:v>1201.5479094121258</c:v>
                </c:pt>
                <c:pt idx="81">
                  <c:v>1207.3984627366106</c:v>
                </c:pt>
                <c:pt idx="82">
                  <c:v>1213.101704566252</c:v>
                </c:pt>
                <c:pt idx="83">
                  <c:v>1218.6611193145111</c:v>
                </c:pt>
                <c:pt idx="84">
                  <c:v>1224.0801219406676</c:v>
                </c:pt>
                <c:pt idx="85">
                  <c:v>1229.3620584838163</c:v>
                </c:pt>
                <c:pt idx="86">
                  <c:v>1234.5102066652635</c:v>
                </c:pt>
                <c:pt idx="87">
                  <c:v>1239.5277765514074</c:v>
                </c:pt>
                <c:pt idx="88">
                  <c:v>1244.4179112699132</c:v>
                </c:pt>
                <c:pt idx="89">
                  <c:v>1249.1836877726623</c:v>
                </c:pt>
                <c:pt idx="90">
                  <c:v>1253.8281176396088</c:v>
                </c:pt>
                <c:pt idx="91">
                  <c:v>1258.3541479181697</c:v>
                </c:pt>
                <c:pt idx="92">
                  <c:v>1262.7646619933234</c:v>
                </c:pt>
                <c:pt idx="93">
                  <c:v>1267.0624804840143</c:v>
                </c:pt>
                <c:pt idx="94">
                  <c:v>1271.2503621618644</c:v>
                </c:pt>
                <c:pt idx="95">
                  <c:v>1275.3310048885899</c:v>
                </c:pt>
                <c:pt idx="96">
                  <c:v>1279.3070465687995</c:v>
                </c:pt>
                <c:pt idx="97">
                  <c:v>1283.1810661152399</c:v>
                </c:pt>
                <c:pt idx="98">
                  <c:v>1286.9555844237159</c:v>
                </c:pt>
                <c:pt idx="99">
                  <c:v>1290.6330653552702</c:v>
                </c:pt>
                <c:pt idx="100">
                  <c:v>1294.2159167233617</c:v>
                </c:pt>
                <c:pt idx="101">
                  <c:v>1297.7064912840287</c:v>
                </c:pt>
                <c:pt idx="102">
                  <c:v>1301.1070877271777</c:v>
                </c:pt>
                <c:pt idx="103">
                  <c:v>1304.4199516673457</c:v>
                </c:pt>
                <c:pt idx="104">
                  <c:v>1307.647276632428</c:v>
                </c:pt>
                <c:pt idx="105">
                  <c:v>1310.7912050489779</c:v>
                </c:pt>
                <c:pt idx="106">
                  <c:v>1313.8538292228729</c:v>
                </c:pt>
                <c:pt idx="107">
                  <c:v>1316.8371923142151</c:v>
                </c:pt>
                <c:pt idx="108">
                  <c:v>1319.7432893054508</c:v>
                </c:pt>
                <c:pt idx="109">
                  <c:v>1322.5740679618391</c:v>
                </c:pt>
                <c:pt idx="110">
                  <c:v>1325.3314297834042</c:v>
                </c:pt>
              </c:numCache>
            </c:numRef>
          </c:yVal>
          <c:smooth val="0"/>
          <c:extLst>
            <c:ext xmlns:c16="http://schemas.microsoft.com/office/drawing/2014/chart" uri="{C3380CC4-5D6E-409C-BE32-E72D297353CC}">
              <c16:uniqueId val="{00000000-F10F-4405-9C9A-1182DE9EB247}"/>
            </c:ext>
          </c:extLst>
        </c:ser>
        <c:dLbls>
          <c:showLegendKey val="0"/>
          <c:showVal val="0"/>
          <c:showCatName val="0"/>
          <c:showSerName val="0"/>
          <c:showPercent val="0"/>
          <c:showBubbleSize val="0"/>
        </c:dLbls>
        <c:axId val="914885888"/>
        <c:axId val="914886872"/>
      </c:scatterChart>
      <c:valAx>
        <c:axId val="914885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ysClr val="windowText" lastClr="000000"/>
            </a:solidFill>
            <a:round/>
          </a:ln>
          <a:effectLst/>
        </c:spPr>
        <c:txPr>
          <a:bodyPr rot="-60000000" vert="horz"/>
          <a:lstStyle/>
          <a:p>
            <a:pPr>
              <a:defRPr/>
            </a:pPr>
            <a:endParaRPr lang="ja-JP"/>
          </a:p>
        </c:txPr>
        <c:crossAx val="914886872"/>
        <c:crosses val="autoZero"/>
        <c:crossBetween val="midCat"/>
        <c:majorUnit val="10"/>
      </c:valAx>
      <c:valAx>
        <c:axId val="914886872"/>
        <c:scaling>
          <c:orientation val="minMax"/>
          <c:max val="14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w="9525" cap="flat" cmpd="sng" algn="ctr">
            <a:solidFill>
              <a:sysClr val="windowText" lastClr="000000"/>
            </a:solidFill>
            <a:round/>
          </a:ln>
          <a:effectLst/>
        </c:spPr>
        <c:txPr>
          <a:bodyPr rot="-60000000" vert="horz"/>
          <a:lstStyle/>
          <a:p>
            <a:pPr>
              <a:defRPr/>
            </a:pPr>
            <a:endParaRPr lang="ja-JP"/>
          </a:p>
        </c:txPr>
        <c:crossAx val="914885888"/>
        <c:crosses val="autoZero"/>
        <c:crossBetween val="midCat"/>
        <c:majorUnit val="100"/>
      </c:valAx>
      <c:spPr>
        <a:ln>
          <a:solidFill>
            <a:schemeClr val="tx1"/>
          </a:solidFill>
        </a:ln>
      </c:spPr>
    </c:plotArea>
    <c:legend>
      <c:legendPos val="l"/>
      <c:layout>
        <c:manualLayout>
          <c:xMode val="edge"/>
          <c:yMode val="edge"/>
          <c:x val="0.17129629629629628"/>
          <c:y val="0.17245091863517059"/>
          <c:w val="0.21296296296296297"/>
          <c:h val="0.17556430446194227"/>
        </c:manualLayout>
      </c:layout>
      <c:overlay val="0"/>
      <c:spPr>
        <a:solidFill>
          <a:schemeClr val="bg1"/>
        </a:solidFill>
        <a:ln>
          <a:solidFill>
            <a:sysClr val="windowText" lastClr="000000"/>
          </a:solidFill>
        </a:ln>
      </c:spPr>
      <c:txPr>
        <a:bodyPr/>
        <a:lstStyle/>
        <a:p>
          <a:pPr>
            <a:defRPr sz="800"/>
          </a:pPr>
          <a:endParaRPr lang="ja-JP"/>
        </a:p>
      </c:txPr>
    </c:legend>
    <c:plotVisOnly val="1"/>
    <c:dispBlanksAs val="gap"/>
    <c:showDLblsOverMax val="0"/>
  </c:chart>
  <c:spPr>
    <a:ln>
      <a:noFill/>
    </a:ln>
  </c:spPr>
  <c:txPr>
    <a:bodyPr/>
    <a:lstStyle/>
    <a:p>
      <a:pPr>
        <a:defRPr sz="800"/>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材積</a:t>
            </a:r>
            <a:endParaRPr lang="en-US" altLang="ja-JP"/>
          </a:p>
        </c:rich>
      </c:tx>
      <c:layout>
        <c:manualLayout>
          <c:xMode val="edge"/>
          <c:yMode val="edge"/>
          <c:x val="0.47066666666666668"/>
          <c:y val="0"/>
        </c:manualLayout>
      </c:layout>
      <c:overlay val="0"/>
      <c:spPr>
        <a:noFill/>
        <a:ln>
          <a:noFill/>
        </a:ln>
        <a:effectLst/>
      </c:spPr>
    </c:title>
    <c:autoTitleDeleted val="0"/>
    <c:plotArea>
      <c:layout>
        <c:manualLayout>
          <c:layoutTarget val="inner"/>
          <c:xMode val="edge"/>
          <c:yMode val="edge"/>
          <c:x val="5.465718846999796E-2"/>
          <c:y val="9.1992885015109244E-2"/>
          <c:w val="0.90049254152509284"/>
          <c:h val="0.82443597874814123"/>
        </c:manualLayout>
      </c:layout>
      <c:scatterChart>
        <c:scatterStyle val="lineMarker"/>
        <c:varyColors val="0"/>
        <c:ser>
          <c:idx val="1"/>
          <c:order val="0"/>
          <c:tx>
            <c:v>条件①</c:v>
          </c:tx>
          <c:marker>
            <c:symbol val="none"/>
          </c:marker>
          <c:xVal>
            <c:numRef>
              <c:f>'b（手動）計算用'!$D$5:$D$115</c:f>
              <c:numCache>
                <c:formatCode>General</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'b（手動）計算用'!$H$5:$H$115</c:f>
              <c:numCache>
                <c:formatCode>0.0_ </c:formatCode>
                <c:ptCount val="111"/>
                <c:pt idx="0">
                  <c:v>102.2800111677394</c:v>
                </c:pt>
                <c:pt idx="1">
                  <c:v>124.22331651364004</c:v>
                </c:pt>
                <c:pt idx="2">
                  <c:v>146.76866090703777</c:v>
                </c:pt>
                <c:pt idx="3">
                  <c:v>170.35142162858887</c:v>
                </c:pt>
                <c:pt idx="4">
                  <c:v>194.70162037952747</c:v>
                </c:pt>
                <c:pt idx="5">
                  <c:v>219.66196464449416</c:v>
                </c:pt>
                <c:pt idx="6">
                  <c:v>245.09492476727775</c:v>
                </c:pt>
                <c:pt idx="7">
                  <c:v>270.88036921106317</c:v>
                </c:pt>
                <c:pt idx="8">
                  <c:v>296.91335942972614</c:v>
                </c:pt>
                <c:pt idx="9">
                  <c:v>323.10217185137168</c:v>
                </c:pt>
                <c:pt idx="10">
                  <c:v>349.36656442215394</c:v>
                </c:pt>
                <c:pt idx="11">
                  <c:v>375.63627903669754</c:v>
                </c:pt>
                <c:pt idx="12">
                  <c:v>401.8497588205708</c:v>
                </c:pt>
                <c:pt idx="13">
                  <c:v>427.95305457127449</c:v>
                </c:pt>
                <c:pt idx="14">
                  <c:v>453.89889415417747</c:v>
                </c:pt>
                <c:pt idx="15">
                  <c:v>479.64589023952368</c:v>
                </c:pt>
                <c:pt idx="16">
                  <c:v>505.15786429703888</c:v>
                </c:pt>
                <c:pt idx="17">
                  <c:v>530.4032675978408</c:v>
                </c:pt>
                <c:pt idx="18">
                  <c:v>555.35468277166194</c:v>
                </c:pt>
                <c:pt idx="19">
                  <c:v>579.98839206411412</c:v>
                </c:pt>
                <c:pt idx="20">
                  <c:v>604.28400076205753</c:v>
                </c:pt>
                <c:pt idx="21">
                  <c:v>553.65280486398251</c:v>
                </c:pt>
                <c:pt idx="22">
                  <c:v>577.10600989738703</c:v>
                </c:pt>
                <c:pt idx="23">
                  <c:v>600.27008861044362</c:v>
                </c:pt>
                <c:pt idx="24">
                  <c:v>623.12610548454222</c:v>
                </c:pt>
                <c:pt idx="25">
                  <c:v>645.6577675810679</c:v>
                </c:pt>
                <c:pt idx="26">
                  <c:v>667.85119866670391</c:v>
                </c:pt>
                <c:pt idx="27">
                  <c:v>689.69472876539942</c:v>
                </c:pt>
                <c:pt idx="28">
                  <c:v>711.17869805283431</c:v>
                </c:pt>
                <c:pt idx="29">
                  <c:v>732.29527417920644</c:v>
                </c:pt>
                <c:pt idx="30">
                  <c:v>753.03828223992923</c:v>
                </c:pt>
                <c:pt idx="31">
                  <c:v>711.72785869968254</c:v>
                </c:pt>
                <c:pt idx="32">
                  <c:v>730.86209724929176</c:v>
                </c:pt>
                <c:pt idx="33">
                  <c:v>749.6462682297913</c:v>
                </c:pt>
                <c:pt idx="34">
                  <c:v>768.0778502353603</c:v>
                </c:pt>
                <c:pt idx="35">
                  <c:v>786.15536229490056</c:v>
                </c:pt>
                <c:pt idx="36">
                  <c:v>803.87825623091862</c:v>
                </c:pt>
                <c:pt idx="37">
                  <c:v>821.24681741305517</c:v>
                </c:pt>
                <c:pt idx="38">
                  <c:v>838.26207350237883</c:v>
                </c:pt>
                <c:pt idx="39">
                  <c:v>854.92571076889703</c:v>
                </c:pt>
                <c:pt idx="40">
                  <c:v>871.23999755514399</c:v>
                </c:pt>
                <c:pt idx="41">
                  <c:v>887.20771445367052</c:v>
                </c:pt>
                <c:pt idx="42">
                  <c:v>902.832090765825</c:v>
                </c:pt>
                <c:pt idx="43">
                  <c:v>918.11674681329373</c:v>
                </c:pt>
                <c:pt idx="44">
                  <c:v>933.06564168197315</c:v>
                </c:pt>
                <c:pt idx="45">
                  <c:v>947.68302598946764</c:v>
                </c:pt>
                <c:pt idx="46">
                  <c:v>885.74771455717746</c:v>
                </c:pt>
                <c:pt idx="47">
                  <c:v>899.12347291313961</c:v>
                </c:pt>
                <c:pt idx="48">
                  <c:v>912.20209403078456</c:v>
                </c:pt>
                <c:pt idx="49">
                  <c:v>924.98781146581121</c:v>
                </c:pt>
                <c:pt idx="50">
                  <c:v>937.48501134342212</c:v>
                </c:pt>
                <c:pt idx="51">
                  <c:v>949.6982061890576</c:v>
                </c:pt>
                <c:pt idx="52">
                  <c:v>961.63201144937432</c:v>
                </c:pt>
                <c:pt idx="53">
                  <c:v>973.29112445815372</c:v>
                </c:pt>
                <c:pt idx="54">
                  <c:v>984.68030562012166</c:v>
                </c:pt>
                <c:pt idx="55">
                  <c:v>995.80436160353179</c:v>
                </c:pt>
                <c:pt idx="56">
                  <c:v>1006.6681303493801</c:v>
                </c:pt>
                <c:pt idx="57">
                  <c:v>1017.2764677214876</c:v>
                </c:pt>
                <c:pt idx="58">
                  <c:v>1027.6342356369712</c:v>
                </c:pt>
                <c:pt idx="59">
                  <c:v>1037.7462915310678</c:v>
                </c:pt>
                <c:pt idx="60">
                  <c:v>1047.6174790236453</c:v>
                </c:pt>
                <c:pt idx="61">
                  <c:v>1057.2526196671756</c:v>
                </c:pt>
                <c:pt idx="62">
                  <c:v>1066.656505667341</c:v>
                </c:pt>
                <c:pt idx="63">
                  <c:v>1075.833893478009</c:v>
                </c:pt>
                <c:pt idx="64">
                  <c:v>1084.7894981818608</c:v>
                </c:pt>
                <c:pt idx="65">
                  <c:v>1093.5279885767359</c:v>
                </c:pt>
                <c:pt idx="66">
                  <c:v>1102.0539828957105</c:v>
                </c:pt>
                <c:pt idx="67">
                  <c:v>1110.3720450961353</c:v>
                </c:pt>
                <c:pt idx="68">
                  <c:v>1118.4866816593867</c:v>
                </c:pt>
                <c:pt idx="69">
                  <c:v>1126.4023388489622</c:v>
                </c:pt>
                <c:pt idx="70">
                  <c:v>1134.1234003799025</c:v>
                </c:pt>
                <c:pt idx="71">
                  <c:v>1141.6541854572299</c:v>
                </c:pt>
                <c:pt idx="72">
                  <c:v>1148.9989471454599</c:v>
                </c:pt>
                <c:pt idx="73">
                  <c:v>1156.1618710350629</c:v>
                </c:pt>
                <c:pt idx="74">
                  <c:v>1163.1470741752223</c:v>
                </c:pt>
                <c:pt idx="75">
                  <c:v>1169.9586042453445</c:v>
                </c:pt>
                <c:pt idx="76">
                  <c:v>1176.6004389405396</c:v>
                </c:pt>
                <c:pt idx="77">
                  <c:v>1183.0764855488394</c:v>
                </c:pt>
                <c:pt idx="78">
                  <c:v>1189.3905807000701</c:v>
                </c:pt>
                <c:pt idx="79">
                  <c:v>1195.5464902683739</c:v>
                </c:pt>
                <c:pt idx="80">
                  <c:v>1201.5479094121258</c:v>
                </c:pt>
                <c:pt idx="81">
                  <c:v>1207.3984627366106</c:v>
                </c:pt>
                <c:pt idx="82">
                  <c:v>1213.101704566252</c:v>
                </c:pt>
                <c:pt idx="83">
                  <c:v>1218.6611193145111</c:v>
                </c:pt>
                <c:pt idx="84">
                  <c:v>1224.0801219406676</c:v>
                </c:pt>
                <c:pt idx="85">
                  <c:v>1229.3620584838163</c:v>
                </c:pt>
                <c:pt idx="86">
                  <c:v>1234.5102066652635</c:v>
                </c:pt>
                <c:pt idx="87">
                  <c:v>1239.5277765514074</c:v>
                </c:pt>
                <c:pt idx="88">
                  <c:v>1244.4179112699132</c:v>
                </c:pt>
                <c:pt idx="89">
                  <c:v>1249.1836877726623</c:v>
                </c:pt>
                <c:pt idx="90">
                  <c:v>1253.8281176396088</c:v>
                </c:pt>
                <c:pt idx="91">
                  <c:v>1258.3541479181697</c:v>
                </c:pt>
                <c:pt idx="92">
                  <c:v>1262.7646619933234</c:v>
                </c:pt>
                <c:pt idx="93">
                  <c:v>1267.0624804840143</c:v>
                </c:pt>
                <c:pt idx="94">
                  <c:v>1271.2503621618644</c:v>
                </c:pt>
                <c:pt idx="95">
                  <c:v>1275.3310048885899</c:v>
                </c:pt>
                <c:pt idx="96">
                  <c:v>1279.3070465687995</c:v>
                </c:pt>
                <c:pt idx="97">
                  <c:v>1283.1810661152399</c:v>
                </c:pt>
                <c:pt idx="98">
                  <c:v>1286.9555844237159</c:v>
                </c:pt>
                <c:pt idx="99">
                  <c:v>1290.6330653552702</c:v>
                </c:pt>
                <c:pt idx="100">
                  <c:v>1294.2159167233617</c:v>
                </c:pt>
                <c:pt idx="101">
                  <c:v>1297.7064912840287</c:v>
                </c:pt>
                <c:pt idx="102">
                  <c:v>1301.1070877271777</c:v>
                </c:pt>
                <c:pt idx="103">
                  <c:v>1304.4199516673457</c:v>
                </c:pt>
                <c:pt idx="104">
                  <c:v>1307.647276632428</c:v>
                </c:pt>
                <c:pt idx="105">
                  <c:v>1310.7912050489779</c:v>
                </c:pt>
                <c:pt idx="106">
                  <c:v>1313.8538292228729</c:v>
                </c:pt>
                <c:pt idx="107">
                  <c:v>1316.8371923142151</c:v>
                </c:pt>
                <c:pt idx="108">
                  <c:v>1319.7432893054508</c:v>
                </c:pt>
                <c:pt idx="109">
                  <c:v>1322.5740679618391</c:v>
                </c:pt>
                <c:pt idx="110">
                  <c:v>1325.3314297834042</c:v>
                </c:pt>
              </c:numCache>
            </c:numRef>
          </c:yVal>
          <c:smooth val="0"/>
          <c:extLst>
            <c:ext xmlns:c16="http://schemas.microsoft.com/office/drawing/2014/chart" uri="{C3380CC4-5D6E-409C-BE32-E72D297353CC}">
              <c16:uniqueId val="{00000000-747D-4B9B-97D9-3C51F4C60BDB}"/>
            </c:ext>
          </c:extLst>
        </c:ser>
        <c:dLbls>
          <c:showLegendKey val="0"/>
          <c:showVal val="0"/>
          <c:showCatName val="0"/>
          <c:showSerName val="0"/>
          <c:showPercent val="0"/>
          <c:showBubbleSize val="0"/>
        </c:dLbls>
        <c:axId val="914885888"/>
        <c:axId val="914886872"/>
      </c:scatterChart>
      <c:valAx>
        <c:axId val="914885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6872"/>
        <c:crosses val="autoZero"/>
        <c:crossBetween val="midCat"/>
        <c:majorUnit val="10"/>
      </c:valAx>
      <c:valAx>
        <c:axId val="914886872"/>
        <c:scaling>
          <c:orientation val="minMax"/>
          <c:max val="15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5888"/>
        <c:crosses val="autoZero"/>
        <c:crossBetween val="midCat"/>
        <c:majorUnit val="100"/>
      </c:valAx>
      <c:spPr>
        <a:ln>
          <a:solidFill>
            <a:schemeClr val="tx1"/>
          </a:solidFill>
        </a:ln>
      </c:spPr>
    </c:plotArea>
    <c:plotVisOnly val="1"/>
    <c:dispBlanksAs val="gap"/>
    <c:showDLblsOverMax val="0"/>
  </c:chart>
  <c:spPr>
    <a:ln>
      <a:noFill/>
    </a:ln>
  </c:spPr>
  <c:txPr>
    <a:bodyPr/>
    <a:lstStyle/>
    <a:p>
      <a:pPr>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密度</a:t>
            </a:r>
            <a:endParaRPr lang="en-US" altLang="ja-JP"/>
          </a:p>
        </c:rich>
      </c:tx>
      <c:layout>
        <c:manualLayout>
          <c:xMode val="edge"/>
          <c:yMode val="edge"/>
          <c:x val="0.47066666666666668"/>
          <c:y val="0"/>
        </c:manualLayout>
      </c:layout>
      <c:overlay val="0"/>
      <c:spPr>
        <a:noFill/>
        <a:ln>
          <a:noFill/>
        </a:ln>
        <a:effectLst/>
      </c:spPr>
    </c:title>
    <c:autoTitleDeleted val="0"/>
    <c:plotArea>
      <c:layout>
        <c:manualLayout>
          <c:layoutTarget val="inner"/>
          <c:xMode val="edge"/>
          <c:yMode val="edge"/>
          <c:x val="5.465718846999796E-2"/>
          <c:y val="9.1992885015109244E-2"/>
          <c:w val="0.90049254152509284"/>
          <c:h val="0.82443597874814123"/>
        </c:manualLayout>
      </c:layout>
      <c:scatterChart>
        <c:scatterStyle val="lineMarker"/>
        <c:varyColors val="0"/>
        <c:ser>
          <c:idx val="1"/>
          <c:order val="0"/>
          <c:marker>
            <c:symbol val="none"/>
          </c:marker>
          <c:xVal>
            <c:numRef>
              <c:f>'b（手動）計算用'!$D$5:$D$115</c:f>
              <c:numCache>
                <c:formatCode>General</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'b（手動）計算用'!$F$5:$F$115</c:f>
              <c:numCache>
                <c:formatCode>0_ </c:formatCode>
                <c:ptCount val="111"/>
                <c:pt idx="0">
                  <c:v>2400</c:v>
                </c:pt>
                <c:pt idx="1">
                  <c:v>2400</c:v>
                </c:pt>
                <c:pt idx="2">
                  <c:v>2378.6995149385252</c:v>
                </c:pt>
                <c:pt idx="3">
                  <c:v>2359.9216915640836</c:v>
                </c:pt>
                <c:pt idx="4">
                  <c:v>2340.7662406907311</c:v>
                </c:pt>
                <c:pt idx="5">
                  <c:v>2321.3807070057342</c:v>
                </c:pt>
                <c:pt idx="6">
                  <c:v>2301.8907004546645</c:v>
                </c:pt>
                <c:pt idx="7">
                  <c:v>2282.402289098367</c:v>
                </c:pt>
                <c:pt idx="8">
                  <c:v>2263.0043655536742</c:v>
                </c:pt>
                <c:pt idx="9">
                  <c:v>2243.7708697822568</c:v>
                </c:pt>
                <c:pt idx="10">
                  <c:v>2224.7628122291453</c:v>
                </c:pt>
                <c:pt idx="11">
                  <c:v>2206.0300779597787</c:v>
                </c:pt>
                <c:pt idx="12">
                  <c:v>2187.6130135408257</c:v>
                </c:pt>
                <c:pt idx="13">
                  <c:v>2169.5438098124546</c:v>
                </c:pt>
                <c:pt idx="14">
                  <c:v>2151.8476991637572</c:v>
                </c:pt>
                <c:pt idx="15">
                  <c:v>2134.5439878349262</c:v>
                </c:pt>
                <c:pt idx="16">
                  <c:v>2117.6469436323105</c:v>
                </c:pt>
                <c:pt idx="17">
                  <c:v>2101.166558191509</c:v>
                </c:pt>
                <c:pt idx="18">
                  <c:v>2085.1092011342921</c:v>
                </c:pt>
                <c:pt idx="19">
                  <c:v>2069.4781814832136</c:v>
                </c:pt>
                <c:pt idx="20">
                  <c:v>2054.2742297248478</c:v>
                </c:pt>
                <c:pt idx="21">
                  <c:v>1434.2742297248478</c:v>
                </c:pt>
                <c:pt idx="22">
                  <c:v>1434.2742297248478</c:v>
                </c:pt>
                <c:pt idx="23">
                  <c:v>1434.2742297248478</c:v>
                </c:pt>
                <c:pt idx="24">
                  <c:v>1434.2742297248478</c:v>
                </c:pt>
                <c:pt idx="25">
                  <c:v>1434.2742297248478</c:v>
                </c:pt>
                <c:pt idx="26">
                  <c:v>1434.2742297248478</c:v>
                </c:pt>
                <c:pt idx="27">
                  <c:v>1434.2742297248478</c:v>
                </c:pt>
                <c:pt idx="28">
                  <c:v>1434.2742297248478</c:v>
                </c:pt>
                <c:pt idx="29">
                  <c:v>1434.2742297248478</c:v>
                </c:pt>
                <c:pt idx="30">
                  <c:v>1434.2742297248478</c:v>
                </c:pt>
                <c:pt idx="31">
                  <c:v>1144.2742297248478</c:v>
                </c:pt>
                <c:pt idx="32">
                  <c:v>1144.2742297248478</c:v>
                </c:pt>
                <c:pt idx="33">
                  <c:v>1144.2742297248478</c:v>
                </c:pt>
                <c:pt idx="34">
                  <c:v>1144.2742297248478</c:v>
                </c:pt>
                <c:pt idx="35">
                  <c:v>1144.2742297248478</c:v>
                </c:pt>
                <c:pt idx="36">
                  <c:v>1144.2742297248478</c:v>
                </c:pt>
                <c:pt idx="37">
                  <c:v>1144.2742297248478</c:v>
                </c:pt>
                <c:pt idx="38">
                  <c:v>1144.2742297248478</c:v>
                </c:pt>
                <c:pt idx="39">
                  <c:v>1144.2742297248478</c:v>
                </c:pt>
                <c:pt idx="40">
                  <c:v>1144.2742297248478</c:v>
                </c:pt>
                <c:pt idx="41">
                  <c:v>1144.2742297248478</c:v>
                </c:pt>
                <c:pt idx="42">
                  <c:v>1144.2742297248478</c:v>
                </c:pt>
                <c:pt idx="43">
                  <c:v>1144.2742297248478</c:v>
                </c:pt>
                <c:pt idx="44">
                  <c:v>1144.2742297248478</c:v>
                </c:pt>
                <c:pt idx="45">
                  <c:v>1144.2742297248478</c:v>
                </c:pt>
                <c:pt idx="46">
                  <c:v>914.27422972484783</c:v>
                </c:pt>
                <c:pt idx="47">
                  <c:v>914.27422972484783</c:v>
                </c:pt>
                <c:pt idx="48">
                  <c:v>914.27422972484783</c:v>
                </c:pt>
                <c:pt idx="49">
                  <c:v>914.27422972484783</c:v>
                </c:pt>
                <c:pt idx="50">
                  <c:v>914.27422972484783</c:v>
                </c:pt>
                <c:pt idx="51">
                  <c:v>914.27422972484783</c:v>
                </c:pt>
                <c:pt idx="52">
                  <c:v>914.27422972484783</c:v>
                </c:pt>
                <c:pt idx="53">
                  <c:v>914.27422972484783</c:v>
                </c:pt>
                <c:pt idx="54">
                  <c:v>914.27422972484783</c:v>
                </c:pt>
                <c:pt idx="55">
                  <c:v>914.27422972484783</c:v>
                </c:pt>
                <c:pt idx="56">
                  <c:v>914.27422972484783</c:v>
                </c:pt>
                <c:pt idx="57">
                  <c:v>914.27422972484783</c:v>
                </c:pt>
                <c:pt idx="58">
                  <c:v>914.27422972484783</c:v>
                </c:pt>
                <c:pt idx="59">
                  <c:v>914.27422972484783</c:v>
                </c:pt>
                <c:pt idx="60">
                  <c:v>914.27422972484783</c:v>
                </c:pt>
                <c:pt idx="61">
                  <c:v>914.27422972484783</c:v>
                </c:pt>
                <c:pt idx="62">
                  <c:v>914.27422972484783</c:v>
                </c:pt>
                <c:pt idx="63">
                  <c:v>914.27422972484783</c:v>
                </c:pt>
                <c:pt idx="64">
                  <c:v>914.27422972484783</c:v>
                </c:pt>
                <c:pt idx="65">
                  <c:v>914.27422972484783</c:v>
                </c:pt>
                <c:pt idx="66">
                  <c:v>914.27422972484783</c:v>
                </c:pt>
                <c:pt idx="67">
                  <c:v>914.27422972484783</c:v>
                </c:pt>
                <c:pt idx="68">
                  <c:v>914.27422972484783</c:v>
                </c:pt>
                <c:pt idx="69">
                  <c:v>914.27422972484783</c:v>
                </c:pt>
                <c:pt idx="70">
                  <c:v>914.27422972484783</c:v>
                </c:pt>
                <c:pt idx="71">
                  <c:v>914.27422972484783</c:v>
                </c:pt>
                <c:pt idx="72">
                  <c:v>914.27422972484783</c:v>
                </c:pt>
                <c:pt idx="73">
                  <c:v>914.27422972484783</c:v>
                </c:pt>
                <c:pt idx="74">
                  <c:v>914.27422972484783</c:v>
                </c:pt>
                <c:pt idx="75">
                  <c:v>914.27422972484783</c:v>
                </c:pt>
                <c:pt idx="76">
                  <c:v>914.27422972484783</c:v>
                </c:pt>
                <c:pt idx="77">
                  <c:v>914.27422972484783</c:v>
                </c:pt>
                <c:pt idx="78">
                  <c:v>914.27422972484783</c:v>
                </c:pt>
                <c:pt idx="79">
                  <c:v>914.27422972484783</c:v>
                </c:pt>
                <c:pt idx="80">
                  <c:v>914.27422972484783</c:v>
                </c:pt>
                <c:pt idx="81">
                  <c:v>914.27422972484783</c:v>
                </c:pt>
                <c:pt idx="82">
                  <c:v>914.27422972484783</c:v>
                </c:pt>
                <c:pt idx="83">
                  <c:v>914.27422972484783</c:v>
                </c:pt>
                <c:pt idx="84">
                  <c:v>914.27422972484783</c:v>
                </c:pt>
                <c:pt idx="85">
                  <c:v>914.27422972484783</c:v>
                </c:pt>
                <c:pt idx="86">
                  <c:v>914.27422972484783</c:v>
                </c:pt>
                <c:pt idx="87">
                  <c:v>914.27422972484783</c:v>
                </c:pt>
                <c:pt idx="88">
                  <c:v>914.27422972484783</c:v>
                </c:pt>
                <c:pt idx="89">
                  <c:v>914.27422972484783</c:v>
                </c:pt>
                <c:pt idx="90">
                  <c:v>914.27422972484783</c:v>
                </c:pt>
                <c:pt idx="91">
                  <c:v>914.27422972484783</c:v>
                </c:pt>
                <c:pt idx="92">
                  <c:v>914.27422972484783</c:v>
                </c:pt>
                <c:pt idx="93">
                  <c:v>914.27422972484783</c:v>
                </c:pt>
                <c:pt idx="94">
                  <c:v>914.27422972484783</c:v>
                </c:pt>
                <c:pt idx="95">
                  <c:v>914.27422972484783</c:v>
                </c:pt>
                <c:pt idx="96">
                  <c:v>914.27422972484783</c:v>
                </c:pt>
                <c:pt idx="97">
                  <c:v>914.27422972484783</c:v>
                </c:pt>
                <c:pt idx="98">
                  <c:v>914.27422972484783</c:v>
                </c:pt>
                <c:pt idx="99">
                  <c:v>914.27422972484783</c:v>
                </c:pt>
                <c:pt idx="100">
                  <c:v>914.27422972484783</c:v>
                </c:pt>
                <c:pt idx="101">
                  <c:v>914.27422972484783</c:v>
                </c:pt>
                <c:pt idx="102">
                  <c:v>914.27422972484783</c:v>
                </c:pt>
                <c:pt idx="103">
                  <c:v>914.27422972484783</c:v>
                </c:pt>
                <c:pt idx="104">
                  <c:v>914.27422972484783</c:v>
                </c:pt>
                <c:pt idx="105">
                  <c:v>914.27422972484783</c:v>
                </c:pt>
                <c:pt idx="106">
                  <c:v>914.27422972484783</c:v>
                </c:pt>
                <c:pt idx="107">
                  <c:v>914.27422972484783</c:v>
                </c:pt>
                <c:pt idx="108">
                  <c:v>914.27422972484783</c:v>
                </c:pt>
                <c:pt idx="109">
                  <c:v>914.27422972484783</c:v>
                </c:pt>
                <c:pt idx="110">
                  <c:v>914.27422972484783</c:v>
                </c:pt>
              </c:numCache>
            </c:numRef>
          </c:yVal>
          <c:smooth val="0"/>
          <c:extLst>
            <c:ext xmlns:c16="http://schemas.microsoft.com/office/drawing/2014/chart" uri="{C3380CC4-5D6E-409C-BE32-E72D297353CC}">
              <c16:uniqueId val="{00000000-53FE-4587-B698-D91C95D3FFEC}"/>
            </c:ext>
          </c:extLst>
        </c:ser>
        <c:dLbls>
          <c:showLegendKey val="0"/>
          <c:showVal val="0"/>
          <c:showCatName val="0"/>
          <c:showSerName val="0"/>
          <c:showPercent val="0"/>
          <c:showBubbleSize val="0"/>
        </c:dLbls>
        <c:axId val="914885888"/>
        <c:axId val="914886872"/>
      </c:scatterChart>
      <c:valAx>
        <c:axId val="914885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6872"/>
        <c:crosses val="autoZero"/>
        <c:crossBetween val="midCat"/>
        <c:majorUnit val="10"/>
      </c:valAx>
      <c:valAx>
        <c:axId val="914886872"/>
        <c:scaling>
          <c:orientation val="minMax"/>
          <c:max val="40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5888"/>
        <c:crosses val="autoZero"/>
        <c:crossBetween val="midCat"/>
        <c:majorUnit val="200"/>
      </c:valAx>
      <c:spPr>
        <a:ln>
          <a:solidFill>
            <a:schemeClr val="tx1"/>
          </a:solidFill>
        </a:ln>
      </c:spPr>
    </c:plotArea>
    <c:plotVisOnly val="1"/>
    <c:dispBlanksAs val="span"/>
    <c:showDLblsOverMax val="0"/>
  </c:chart>
  <c:spPr>
    <a:ln>
      <a:noFill/>
    </a:ln>
  </c:spPr>
  <c:txPr>
    <a:bodyPr/>
    <a:lstStyle/>
    <a:p>
      <a:pPr>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Ry</a:t>
            </a:r>
          </a:p>
        </c:rich>
      </c:tx>
      <c:layout>
        <c:manualLayout>
          <c:xMode val="edge"/>
          <c:yMode val="edge"/>
          <c:x val="0.47066666666666668"/>
          <c:y val="0"/>
        </c:manualLayout>
      </c:layout>
      <c:overlay val="0"/>
      <c:spPr>
        <a:noFill/>
        <a:ln>
          <a:noFill/>
        </a:ln>
        <a:effectLst/>
      </c:spPr>
    </c:title>
    <c:autoTitleDeleted val="0"/>
    <c:plotArea>
      <c:layout>
        <c:manualLayout>
          <c:layoutTarget val="inner"/>
          <c:xMode val="edge"/>
          <c:yMode val="edge"/>
          <c:x val="5.465718846999796E-2"/>
          <c:y val="9.1992885015109244E-2"/>
          <c:w val="0.90049254152509284"/>
          <c:h val="0.82443597874814123"/>
        </c:manualLayout>
      </c:layout>
      <c:scatterChart>
        <c:scatterStyle val="lineMarker"/>
        <c:varyColors val="0"/>
        <c:ser>
          <c:idx val="1"/>
          <c:order val="0"/>
          <c:tx>
            <c:v>条件①</c:v>
          </c:tx>
          <c:marker>
            <c:symbol val="none"/>
          </c:marker>
          <c:xVal>
            <c:numRef>
              <c:f>'b（手動）計算用'!$E$5:$E$115</c:f>
              <c:numCache>
                <c:formatCode>0_ </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'b（手動）計算用'!$T$5:$T$115</c:f>
              <c:numCache>
                <c:formatCode>0.00_ </c:formatCode>
                <c:ptCount val="111"/>
                <c:pt idx="0">
                  <c:v>0.53912917556448103</c:v>
                </c:pt>
                <c:pt idx="1">
                  <c:v>0.57999766699305544</c:v>
                </c:pt>
                <c:pt idx="2">
                  <c:v>0.61440882489371806</c:v>
                </c:pt>
                <c:pt idx="3">
                  <c:v>0.64593872659071028</c:v>
                </c:pt>
                <c:pt idx="4">
                  <c:v>0.67451407995314949</c:v>
                </c:pt>
                <c:pt idx="5">
                  <c:v>0.70045488300666847</c:v>
                </c:pt>
                <c:pt idx="6">
                  <c:v>0.72404923070116278</c:v>
                </c:pt>
                <c:pt idx="7">
                  <c:v>0.74555378117272408</c:v>
                </c:pt>
                <c:pt idx="8">
                  <c:v>0.76519570415109928</c:v>
                </c:pt>
                <c:pt idx="9">
                  <c:v>0.78317530264863533</c:v>
                </c:pt>
                <c:pt idx="10">
                  <c:v>0.79966884212340517</c:v>
                </c:pt>
                <c:pt idx="11">
                  <c:v>0.81483132953753434</c:v>
                </c:pt>
                <c:pt idx="12">
                  <c:v>0.82879910950820046</c:v>
                </c:pt>
                <c:pt idx="13">
                  <c:v>0.84169221821162155</c:v>
                </c:pt>
                <c:pt idx="14">
                  <c:v>0.85361647783445405</c:v>
                </c:pt>
                <c:pt idx="15">
                  <c:v>0.8646653375417257</c:v>
                </c:pt>
                <c:pt idx="16">
                  <c:v>0.87492147876876547</c:v>
                </c:pt>
                <c:pt idx="17">
                  <c:v>0.88445820782285334</c:v>
                </c:pt>
                <c:pt idx="18">
                  <c:v>0.89334066014991687</c:v>
                </c:pt>
                <c:pt idx="19">
                  <c:v>0.90162683990706161</c:v>
                </c:pt>
                <c:pt idx="20">
                  <c:v>0.79747890681961453</c:v>
                </c:pt>
                <c:pt idx="21">
                  <c:v>0.80780854996021612</c:v>
                </c:pt>
                <c:pt idx="22">
                  <c:v>0.81758806381640869</c:v>
                </c:pt>
                <c:pt idx="23">
                  <c:v>0.82685364257297544</c:v>
                </c:pt>
                <c:pt idx="24">
                  <c:v>0.83563872346056745</c:v>
                </c:pt>
                <c:pt idx="25">
                  <c:v>0.84397421583543009</c:v>
                </c:pt>
                <c:pt idx="26">
                  <c:v>0.85188871112104514</c:v>
                </c:pt>
                <c:pt idx="27">
                  <c:v>0.859408674788676</c:v>
                </c:pt>
                <c:pt idx="28">
                  <c:v>0.86655862166436115</c:v>
                </c:pt>
                <c:pt idx="29">
                  <c:v>0.87336127587882117</c:v>
                </c:pt>
                <c:pt idx="30">
                  <c:v>0.80881043816601161</c:v>
                </c:pt>
                <c:pt idx="31">
                  <c:v>0.81535265716867455</c:v>
                </c:pt>
                <c:pt idx="32">
                  <c:v>0.82160202703372609</c:v>
                </c:pt>
                <c:pt idx="33">
                  <c:v>0.82757472049494829</c:v>
                </c:pt>
                <c:pt idx="34">
                  <c:v>0.83328586681337224</c:v>
                </c:pt>
                <c:pt idx="35">
                  <c:v>0.83874962512431217</c:v>
                </c:pt>
                <c:pt idx="36">
                  <c:v>0.84397925246181837</c:v>
                </c:pt>
                <c:pt idx="37">
                  <c:v>0.84898716684224174</c:v>
                </c:pt>
                <c:pt idx="38">
                  <c:v>0.85378500576525107</c:v>
                </c:pt>
                <c:pt idx="39">
                  <c:v>0.85838368046682711</c:v>
                </c:pt>
                <c:pt idx="40">
                  <c:v>0.86279342623531075</c:v>
                </c:pt>
                <c:pt idx="41">
                  <c:v>0.86702384907914753</c:v>
                </c:pt>
                <c:pt idx="42">
                  <c:v>0.87108396901378649</c:v>
                </c:pt>
                <c:pt idx="43">
                  <c:v>0.87498226021542458</c:v>
                </c:pt>
                <c:pt idx="44">
                  <c:v>0.87872668827096478</c:v>
                </c:pt>
                <c:pt idx="45">
                  <c:v>0.81192719070865715</c:v>
                </c:pt>
                <c:pt idx="46">
                  <c:v>0.81559499761738974</c:v>
                </c:pt>
                <c:pt idx="47">
                  <c:v>0.81912621888220172</c:v>
                </c:pt>
                <c:pt idx="48">
                  <c:v>0.82252702726410298</c:v>
                </c:pt>
                <c:pt idx="49">
                  <c:v>0.82580325923670583</c:v>
                </c:pt>
                <c:pt idx="50">
                  <c:v>0.82896043580875112</c:v>
                </c:pt>
                <c:pt idx="51">
                  <c:v>0.8320037819963616</c:v>
                </c:pt>
                <c:pt idx="52">
                  <c:v>0.83493824502780456</c:v>
                </c:pt>
                <c:pt idx="53">
                  <c:v>0.83776851135962616</c:v>
                </c:pt>
                <c:pt idx="54">
                  <c:v>0.84049902257911968</c:v>
                </c:pt>
                <c:pt idx="55">
                  <c:v>0.8431339902642484</c:v>
                </c:pt>
                <c:pt idx="56">
                  <c:v>0.84567740986833806</c:v>
                </c:pt>
                <c:pt idx="57">
                  <c:v>0.84813307369316104</c:v>
                </c:pt>
                <c:pt idx="58">
                  <c:v>0.85050458301042253</c:v>
                </c:pt>
                <c:pt idx="59">
                  <c:v>0.85279535938815298</c:v>
                </c:pt>
                <c:pt idx="60">
                  <c:v>0.85500865527514358</c:v>
                </c:pt>
                <c:pt idx="61">
                  <c:v>0.8571475638933076</c:v>
                </c:pt>
                <c:pt idx="62">
                  <c:v>0.85921502848473585</c:v>
                </c:pt>
                <c:pt idx="63">
                  <c:v>0.86121385095724978</c:v>
                </c:pt>
                <c:pt idx="64">
                  <c:v>0.86314669996941906</c:v>
                </c:pt>
                <c:pt idx="65">
                  <c:v>0.86501611849332682</c:v>
                </c:pt>
                <c:pt idx="66">
                  <c:v>0.86682453089082323</c:v>
                </c:pt>
                <c:pt idx="67">
                  <c:v>0.86857424953660067</c:v>
                </c:pt>
                <c:pt idx="68">
                  <c:v>0.87026748101916784</c:v>
                </c:pt>
                <c:pt idx="69">
                  <c:v>0.8719063319486613</c:v>
                </c:pt>
                <c:pt idx="70">
                  <c:v>0.87349281439844451</c:v>
                </c:pt>
                <c:pt idx="71">
                  <c:v>0.87502885100555394</c:v>
                </c:pt>
                <c:pt idx="72">
                  <c:v>0.87651627975332069</c:v>
                </c:pt>
                <c:pt idx="73">
                  <c:v>0.87795685845783789</c:v>
                </c:pt>
                <c:pt idx="74">
                  <c:v>0.87935226897842533</c:v>
                </c:pt>
                <c:pt idx="75">
                  <c:v>0.88070412117081454</c:v>
                </c:pt>
                <c:pt idx="76">
                  <c:v>0.88201395660044746</c:v>
                </c:pt>
                <c:pt idx="77">
                  <c:v>0.88328325203205171</c:v>
                </c:pt>
                <c:pt idx="78">
                  <c:v>0.88451342271049904</c:v>
                </c:pt>
                <c:pt idx="79">
                  <c:v>0.88570582544689003</c:v>
                </c:pt>
                <c:pt idx="80">
                  <c:v>0.88686176152281748</c:v>
                </c:pt>
                <c:pt idx="81">
                  <c:v>0.88798247942484099</c:v>
                </c:pt>
                <c:pt idx="82">
                  <c:v>0.88906917742034242</c:v>
                </c:pt>
                <c:pt idx="83">
                  <c:v>0.89012300598515537</c:v>
                </c:pt>
                <c:pt idx="84">
                  <c:v>0.89114507009261501</c:v>
                </c:pt>
                <c:pt idx="85">
                  <c:v>0.89213643137299803</c:v>
                </c:pt>
                <c:pt idx="86">
                  <c:v>0.89309811015169294</c:v>
                </c:pt>
                <c:pt idx="87">
                  <c:v>0.89403108737385673</c:v>
                </c:pt>
                <c:pt idx="88">
                  <c:v>0.89493630642276578</c:v>
                </c:pt>
                <c:pt idx="89">
                  <c:v>0.89581467483857891</c:v>
                </c:pt>
                <c:pt idx="90">
                  <c:v>0.89666706594375056</c:v>
                </c:pt>
                <c:pt idx="91">
                  <c:v>0.89749432038091559</c:v>
                </c:pt>
                <c:pt idx="92">
                  <c:v>0.89829724756865503</c:v>
                </c:pt>
                <c:pt idx="93">
                  <c:v>0.89907662708019387</c:v>
                </c:pt>
                <c:pt idx="94">
                  <c:v>0.89983320994972549</c:v>
                </c:pt>
                <c:pt idx="95">
                  <c:v>0.90056771991075191</c:v>
                </c:pt>
                <c:pt idx="96">
                  <c:v>0.90128085457052409</c:v>
                </c:pt>
                <c:pt idx="97">
                  <c:v>0.90197328652440056</c:v>
                </c:pt>
                <c:pt idx="98">
                  <c:v>0.90264566441368199</c:v>
                </c:pt>
                <c:pt idx="99">
                  <c:v>0.90329861393024458</c:v>
                </c:pt>
                <c:pt idx="100">
                  <c:v>0.90393273877108316</c:v>
                </c:pt>
                <c:pt idx="101">
                  <c:v>0.90454862154566362</c:v>
                </c:pt>
                <c:pt idx="102">
                  <c:v>0.90514682463879703</c:v>
                </c:pt>
                <c:pt idx="103">
                  <c:v>0.90572789103157558</c:v>
                </c:pt>
                <c:pt idx="104">
                  <c:v>0.90629234508274892</c:v>
                </c:pt>
                <c:pt idx="105">
                  <c:v>0.9068406932727533</c:v>
                </c:pt>
                <c:pt idx="106">
                  <c:v>0.90737342491249229</c:v>
                </c:pt>
                <c:pt idx="107">
                  <c:v>0.9078910128188058</c:v>
                </c:pt>
                <c:pt idx="108">
                  <c:v>0.90839391395846425</c:v>
                </c:pt>
                <c:pt idx="109">
                  <c:v>0.90888257006240225</c:v>
                </c:pt>
                <c:pt idx="110">
                  <c:v>0.90935740821179889</c:v>
                </c:pt>
              </c:numCache>
            </c:numRef>
          </c:yVal>
          <c:smooth val="0"/>
          <c:extLst>
            <c:ext xmlns:c16="http://schemas.microsoft.com/office/drawing/2014/chart" uri="{C3380CC4-5D6E-409C-BE32-E72D297353CC}">
              <c16:uniqueId val="{00000000-FA86-46F3-93C7-CADA4F20F2AA}"/>
            </c:ext>
          </c:extLst>
        </c:ser>
        <c:dLbls>
          <c:showLegendKey val="0"/>
          <c:showVal val="0"/>
          <c:showCatName val="0"/>
          <c:showSerName val="0"/>
          <c:showPercent val="0"/>
          <c:showBubbleSize val="0"/>
        </c:dLbls>
        <c:axId val="914885888"/>
        <c:axId val="914886872"/>
      </c:scatterChart>
      <c:valAx>
        <c:axId val="914885888"/>
        <c:scaling>
          <c:orientation val="minMax"/>
        </c:scaling>
        <c:delete val="0"/>
        <c:axPos val="b"/>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6872"/>
        <c:crosses val="autoZero"/>
        <c:crossBetween val="midCat"/>
        <c:majorUnit val="10"/>
      </c:valAx>
      <c:valAx>
        <c:axId val="91488687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0_ " sourceLinked="0"/>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4885888"/>
        <c:crosses val="autoZero"/>
        <c:crossBetween val="midCat"/>
        <c:majorUnit val="5.000000000000001E-2"/>
      </c:valAx>
      <c:spPr>
        <a:ln>
          <a:solidFill>
            <a:schemeClr val="tx1"/>
          </a:solidFill>
        </a:ln>
      </c:spPr>
    </c:plotArea>
    <c:plotVisOnly val="1"/>
    <c:dispBlanksAs val="gap"/>
    <c:showDLblsOverMax val="0"/>
  </c:chart>
  <c:spPr>
    <a:ln>
      <a:noFill/>
    </a:ln>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ja-JP"/>
              <a:t>密度</a:t>
            </a:r>
            <a:endParaRPr lang="en-US"/>
          </a:p>
        </c:rich>
      </c:tx>
      <c:layout>
        <c:manualLayout>
          <c:xMode val="edge"/>
          <c:yMode val="edge"/>
          <c:x val="0.47066666666666668"/>
          <c:y val="0"/>
        </c:manualLayout>
      </c:layout>
      <c:overlay val="0"/>
      <c:spPr>
        <a:noFill/>
        <a:ln>
          <a:noFill/>
        </a:ln>
        <a:effectLst/>
      </c:spPr>
    </c:title>
    <c:autoTitleDeleted val="0"/>
    <c:plotArea>
      <c:layout>
        <c:manualLayout>
          <c:layoutTarget val="inner"/>
          <c:xMode val="edge"/>
          <c:yMode val="edge"/>
          <c:x val="5.465718846999796E-2"/>
          <c:y val="0.11995223097112861"/>
          <c:w val="0.80776613268169062"/>
          <c:h val="0.77110288713910757"/>
        </c:manualLayout>
      </c:layout>
      <c:scatterChart>
        <c:scatterStyle val="lineMarker"/>
        <c:varyColors val="0"/>
        <c:ser>
          <c:idx val="0"/>
          <c:order val="0"/>
          <c:tx>
            <c:v>自動</c:v>
          </c:tx>
          <c:marker>
            <c:symbol val="none"/>
          </c:marker>
          <c:xVal>
            <c:numRef>
              <c:f>'a（自動）計算用'!$E$5:$E$115</c:f>
              <c:numCache>
                <c:formatCode>General</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'a（自動）計算用'!$F$5:$F$115</c:f>
              <c:numCache>
                <c:formatCode>0_ </c:formatCode>
                <c:ptCount val="111"/>
                <c:pt idx="0">
                  <c:v>2400</c:v>
                </c:pt>
                <c:pt idx="1">
                  <c:v>2400</c:v>
                </c:pt>
                <c:pt idx="2">
                  <c:v>2378.6995149385252</c:v>
                </c:pt>
                <c:pt idx="3">
                  <c:v>2359.9216915640836</c:v>
                </c:pt>
                <c:pt idx="4">
                  <c:v>2340.7662406907311</c:v>
                </c:pt>
                <c:pt idx="5">
                  <c:v>2321.3807070057342</c:v>
                </c:pt>
                <c:pt idx="6">
                  <c:v>2301.8907004546645</c:v>
                </c:pt>
                <c:pt idx="7">
                  <c:v>2282.402289098367</c:v>
                </c:pt>
                <c:pt idx="8">
                  <c:v>2263.0043655536742</c:v>
                </c:pt>
                <c:pt idx="9">
                  <c:v>1603.0043655536742</c:v>
                </c:pt>
                <c:pt idx="10">
                  <c:v>1603.0043655536742</c:v>
                </c:pt>
                <c:pt idx="11">
                  <c:v>1603.0043655536742</c:v>
                </c:pt>
                <c:pt idx="12">
                  <c:v>1603.0043655536742</c:v>
                </c:pt>
                <c:pt idx="13">
                  <c:v>1603.0043655536742</c:v>
                </c:pt>
                <c:pt idx="14">
                  <c:v>1603.0043655536742</c:v>
                </c:pt>
                <c:pt idx="15">
                  <c:v>1153.0043655536742</c:v>
                </c:pt>
                <c:pt idx="16">
                  <c:v>1153.0043655536742</c:v>
                </c:pt>
                <c:pt idx="17">
                  <c:v>1153.0043655536742</c:v>
                </c:pt>
                <c:pt idx="18">
                  <c:v>1153.0043655536742</c:v>
                </c:pt>
                <c:pt idx="19">
                  <c:v>1153.0043655536742</c:v>
                </c:pt>
                <c:pt idx="20">
                  <c:v>1153.0043655536742</c:v>
                </c:pt>
                <c:pt idx="21">
                  <c:v>1153.0043655536742</c:v>
                </c:pt>
                <c:pt idx="22">
                  <c:v>1153.0043655536742</c:v>
                </c:pt>
                <c:pt idx="23">
                  <c:v>1153.0043655536742</c:v>
                </c:pt>
                <c:pt idx="24">
                  <c:v>833.00436555367423</c:v>
                </c:pt>
                <c:pt idx="25">
                  <c:v>833.00436555367423</c:v>
                </c:pt>
                <c:pt idx="26">
                  <c:v>833.00436555367423</c:v>
                </c:pt>
                <c:pt idx="27">
                  <c:v>833.00436555367423</c:v>
                </c:pt>
                <c:pt idx="28">
                  <c:v>833.00436555367423</c:v>
                </c:pt>
                <c:pt idx="29">
                  <c:v>833.00436555367423</c:v>
                </c:pt>
                <c:pt idx="30">
                  <c:v>833.00436555367423</c:v>
                </c:pt>
                <c:pt idx="31">
                  <c:v>833.00436555367423</c:v>
                </c:pt>
                <c:pt idx="32">
                  <c:v>833.00436555367423</c:v>
                </c:pt>
                <c:pt idx="33">
                  <c:v>833.00436555367423</c:v>
                </c:pt>
                <c:pt idx="34">
                  <c:v>833.00436555367423</c:v>
                </c:pt>
                <c:pt idx="35">
                  <c:v>833.00436555367423</c:v>
                </c:pt>
                <c:pt idx="36">
                  <c:v>833.00436555367423</c:v>
                </c:pt>
                <c:pt idx="37">
                  <c:v>833.00436555367423</c:v>
                </c:pt>
                <c:pt idx="38">
                  <c:v>833.00436555367423</c:v>
                </c:pt>
                <c:pt idx="39">
                  <c:v>613.00436555367423</c:v>
                </c:pt>
                <c:pt idx="40">
                  <c:v>613.00436555367423</c:v>
                </c:pt>
                <c:pt idx="41">
                  <c:v>613.00436555367423</c:v>
                </c:pt>
                <c:pt idx="42">
                  <c:v>613.00436555367423</c:v>
                </c:pt>
                <c:pt idx="43">
                  <c:v>613.00436555367423</c:v>
                </c:pt>
                <c:pt idx="44">
                  <c:v>613.00436555367423</c:v>
                </c:pt>
                <c:pt idx="45">
                  <c:v>613.00436555367423</c:v>
                </c:pt>
                <c:pt idx="46">
                  <c:v>613.00436555367423</c:v>
                </c:pt>
                <c:pt idx="47">
                  <c:v>613.00436555367423</c:v>
                </c:pt>
                <c:pt idx="48">
                  <c:v>613.00436555367423</c:v>
                </c:pt>
                <c:pt idx="49">
                  <c:v>613.00436555367423</c:v>
                </c:pt>
                <c:pt idx="50">
                  <c:v>613.00436555367423</c:v>
                </c:pt>
                <c:pt idx="51">
                  <c:v>613.00436555367423</c:v>
                </c:pt>
                <c:pt idx="52">
                  <c:v>613.00436555367423</c:v>
                </c:pt>
                <c:pt idx="53">
                  <c:v>613.00436555367423</c:v>
                </c:pt>
                <c:pt idx="54">
                  <c:v>613.00436555367423</c:v>
                </c:pt>
                <c:pt idx="55">
                  <c:v>613.00436555367423</c:v>
                </c:pt>
                <c:pt idx="56">
                  <c:v>613.00436555367423</c:v>
                </c:pt>
                <c:pt idx="57">
                  <c:v>613.00436555367423</c:v>
                </c:pt>
                <c:pt idx="58">
                  <c:v>613.00436555367423</c:v>
                </c:pt>
                <c:pt idx="59">
                  <c:v>613.00436555367423</c:v>
                </c:pt>
                <c:pt idx="60">
                  <c:v>613.00436555367423</c:v>
                </c:pt>
                <c:pt idx="61">
                  <c:v>613.00436555367423</c:v>
                </c:pt>
                <c:pt idx="62">
                  <c:v>613.00436555367423</c:v>
                </c:pt>
                <c:pt idx="63">
                  <c:v>613.00436555367423</c:v>
                </c:pt>
                <c:pt idx="64">
                  <c:v>613.00436555367423</c:v>
                </c:pt>
                <c:pt idx="65">
                  <c:v>613.00436555367423</c:v>
                </c:pt>
                <c:pt idx="66">
                  <c:v>613.00436555367423</c:v>
                </c:pt>
                <c:pt idx="67">
                  <c:v>613.00436555367423</c:v>
                </c:pt>
                <c:pt idx="68">
                  <c:v>613.00436555367423</c:v>
                </c:pt>
                <c:pt idx="69">
                  <c:v>613.00436555367423</c:v>
                </c:pt>
                <c:pt idx="70">
                  <c:v>613.00436555367423</c:v>
                </c:pt>
                <c:pt idx="71">
                  <c:v>613.00436555367423</c:v>
                </c:pt>
                <c:pt idx="72">
                  <c:v>613.00436555367423</c:v>
                </c:pt>
                <c:pt idx="73">
                  <c:v>613.00436555367423</c:v>
                </c:pt>
                <c:pt idx="74">
                  <c:v>613.00436555367423</c:v>
                </c:pt>
                <c:pt idx="75">
                  <c:v>453.00436555367423</c:v>
                </c:pt>
                <c:pt idx="76">
                  <c:v>453.00436555367423</c:v>
                </c:pt>
                <c:pt idx="77">
                  <c:v>453.00436555367423</c:v>
                </c:pt>
                <c:pt idx="78">
                  <c:v>453.00436555367423</c:v>
                </c:pt>
                <c:pt idx="79">
                  <c:v>453.00436555367423</c:v>
                </c:pt>
                <c:pt idx="80">
                  <c:v>453.00436555367423</c:v>
                </c:pt>
                <c:pt idx="81">
                  <c:v>453.00436555367423</c:v>
                </c:pt>
                <c:pt idx="82">
                  <c:v>453.00436555367423</c:v>
                </c:pt>
                <c:pt idx="83">
                  <c:v>453.00436555367423</c:v>
                </c:pt>
                <c:pt idx="84">
                  <c:v>453.00436555367423</c:v>
                </c:pt>
                <c:pt idx="85">
                  <c:v>453.00436555367423</c:v>
                </c:pt>
                <c:pt idx="86">
                  <c:v>453.00436555367423</c:v>
                </c:pt>
                <c:pt idx="87">
                  <c:v>453.00436555367423</c:v>
                </c:pt>
                <c:pt idx="88">
                  <c:v>453.00436555367423</c:v>
                </c:pt>
                <c:pt idx="89">
                  <c:v>453.00436555367423</c:v>
                </c:pt>
                <c:pt idx="90">
                  <c:v>453.00436555367423</c:v>
                </c:pt>
                <c:pt idx="91">
                  <c:v>453.00436555367423</c:v>
                </c:pt>
                <c:pt idx="92">
                  <c:v>453.00436555367423</c:v>
                </c:pt>
                <c:pt idx="93">
                  <c:v>453.00436555367423</c:v>
                </c:pt>
                <c:pt idx="94">
                  <c:v>453.00436555367423</c:v>
                </c:pt>
                <c:pt idx="95">
                  <c:v>453.00436555367423</c:v>
                </c:pt>
                <c:pt idx="96">
                  <c:v>453.00436555367423</c:v>
                </c:pt>
                <c:pt idx="97">
                  <c:v>453.00436555367423</c:v>
                </c:pt>
                <c:pt idx="98">
                  <c:v>453.00436555367423</c:v>
                </c:pt>
                <c:pt idx="99">
                  <c:v>453.00436555367423</c:v>
                </c:pt>
                <c:pt idx="100">
                  <c:v>453.00436555367423</c:v>
                </c:pt>
                <c:pt idx="101">
                  <c:v>453.00436555367423</c:v>
                </c:pt>
                <c:pt idx="102">
                  <c:v>453.00436555367423</c:v>
                </c:pt>
                <c:pt idx="103">
                  <c:v>453.00436555367423</c:v>
                </c:pt>
                <c:pt idx="104">
                  <c:v>453.00436555367423</c:v>
                </c:pt>
                <c:pt idx="105">
                  <c:v>453.00436555367423</c:v>
                </c:pt>
                <c:pt idx="106">
                  <c:v>453.00436555367423</c:v>
                </c:pt>
                <c:pt idx="107">
                  <c:v>453.00436555367423</c:v>
                </c:pt>
                <c:pt idx="108">
                  <c:v>453.00436555367423</c:v>
                </c:pt>
                <c:pt idx="109">
                  <c:v>453.00436555367423</c:v>
                </c:pt>
                <c:pt idx="110">
                  <c:v>453.00436555367423</c:v>
                </c:pt>
              </c:numCache>
            </c:numRef>
          </c:yVal>
          <c:smooth val="0"/>
          <c:extLst>
            <c:ext xmlns:c16="http://schemas.microsoft.com/office/drawing/2014/chart" uri="{C3380CC4-5D6E-409C-BE32-E72D297353CC}">
              <c16:uniqueId val="{00000001-6938-4C46-BBA4-443EE9246492}"/>
            </c:ext>
          </c:extLst>
        </c:ser>
        <c:ser>
          <c:idx val="1"/>
          <c:order val="1"/>
          <c:tx>
            <c:v>手動</c:v>
          </c:tx>
          <c:marker>
            <c:symbol val="none"/>
          </c:marker>
          <c:xVal>
            <c:numRef>
              <c:f>'b（手動）計算用'!$D$5:$D$115</c:f>
              <c:numCache>
                <c:formatCode>General</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'b（手動）計算用'!$F$5:$F$115</c:f>
              <c:numCache>
                <c:formatCode>0_ </c:formatCode>
                <c:ptCount val="111"/>
                <c:pt idx="0">
                  <c:v>2400</c:v>
                </c:pt>
                <c:pt idx="1">
                  <c:v>2400</c:v>
                </c:pt>
                <c:pt idx="2">
                  <c:v>2378.6995149385252</c:v>
                </c:pt>
                <c:pt idx="3">
                  <c:v>2359.9216915640836</c:v>
                </c:pt>
                <c:pt idx="4">
                  <c:v>2340.7662406907311</c:v>
                </c:pt>
                <c:pt idx="5">
                  <c:v>2321.3807070057342</c:v>
                </c:pt>
                <c:pt idx="6">
                  <c:v>2301.8907004546645</c:v>
                </c:pt>
                <c:pt idx="7">
                  <c:v>2282.402289098367</c:v>
                </c:pt>
                <c:pt idx="8">
                  <c:v>2263.0043655536742</c:v>
                </c:pt>
                <c:pt idx="9">
                  <c:v>2243.7708697822568</c:v>
                </c:pt>
                <c:pt idx="10">
                  <c:v>2224.7628122291453</c:v>
                </c:pt>
                <c:pt idx="11">
                  <c:v>2206.0300779597787</c:v>
                </c:pt>
                <c:pt idx="12">
                  <c:v>2187.6130135408257</c:v>
                </c:pt>
                <c:pt idx="13">
                  <c:v>2169.5438098124546</c:v>
                </c:pt>
                <c:pt idx="14">
                  <c:v>2151.8476991637572</c:v>
                </c:pt>
                <c:pt idx="15">
                  <c:v>2134.5439878349262</c:v>
                </c:pt>
                <c:pt idx="16">
                  <c:v>2117.6469436323105</c:v>
                </c:pt>
                <c:pt idx="17">
                  <c:v>2101.166558191509</c:v>
                </c:pt>
                <c:pt idx="18">
                  <c:v>2085.1092011342921</c:v>
                </c:pt>
                <c:pt idx="19">
                  <c:v>2069.4781814832136</c:v>
                </c:pt>
                <c:pt idx="20">
                  <c:v>2054.2742297248478</c:v>
                </c:pt>
                <c:pt idx="21">
                  <c:v>1434.2742297248478</c:v>
                </c:pt>
                <c:pt idx="22">
                  <c:v>1434.2742297248478</c:v>
                </c:pt>
                <c:pt idx="23">
                  <c:v>1434.2742297248478</c:v>
                </c:pt>
                <c:pt idx="24">
                  <c:v>1434.2742297248478</c:v>
                </c:pt>
                <c:pt idx="25">
                  <c:v>1434.2742297248478</c:v>
                </c:pt>
                <c:pt idx="26">
                  <c:v>1434.2742297248478</c:v>
                </c:pt>
                <c:pt idx="27">
                  <c:v>1434.2742297248478</c:v>
                </c:pt>
                <c:pt idx="28">
                  <c:v>1434.2742297248478</c:v>
                </c:pt>
                <c:pt idx="29">
                  <c:v>1434.2742297248478</c:v>
                </c:pt>
                <c:pt idx="30">
                  <c:v>1434.2742297248478</c:v>
                </c:pt>
                <c:pt idx="31">
                  <c:v>1144.2742297248478</c:v>
                </c:pt>
                <c:pt idx="32">
                  <c:v>1144.2742297248478</c:v>
                </c:pt>
                <c:pt idx="33">
                  <c:v>1144.2742297248478</c:v>
                </c:pt>
                <c:pt idx="34">
                  <c:v>1144.2742297248478</c:v>
                </c:pt>
                <c:pt idx="35">
                  <c:v>1144.2742297248478</c:v>
                </c:pt>
                <c:pt idx="36">
                  <c:v>1144.2742297248478</c:v>
                </c:pt>
                <c:pt idx="37">
                  <c:v>1144.2742297248478</c:v>
                </c:pt>
                <c:pt idx="38">
                  <c:v>1144.2742297248478</c:v>
                </c:pt>
                <c:pt idx="39">
                  <c:v>1144.2742297248478</c:v>
                </c:pt>
                <c:pt idx="40">
                  <c:v>1144.2742297248478</c:v>
                </c:pt>
                <c:pt idx="41">
                  <c:v>1144.2742297248478</c:v>
                </c:pt>
                <c:pt idx="42">
                  <c:v>1144.2742297248478</c:v>
                </c:pt>
                <c:pt idx="43">
                  <c:v>1144.2742297248478</c:v>
                </c:pt>
                <c:pt idx="44">
                  <c:v>1144.2742297248478</c:v>
                </c:pt>
                <c:pt idx="45">
                  <c:v>1144.2742297248478</c:v>
                </c:pt>
                <c:pt idx="46">
                  <c:v>914.27422972484783</c:v>
                </c:pt>
                <c:pt idx="47">
                  <c:v>914.27422972484783</c:v>
                </c:pt>
                <c:pt idx="48">
                  <c:v>914.27422972484783</c:v>
                </c:pt>
                <c:pt idx="49">
                  <c:v>914.27422972484783</c:v>
                </c:pt>
                <c:pt idx="50">
                  <c:v>914.27422972484783</c:v>
                </c:pt>
                <c:pt idx="51">
                  <c:v>914.27422972484783</c:v>
                </c:pt>
                <c:pt idx="52">
                  <c:v>914.27422972484783</c:v>
                </c:pt>
                <c:pt idx="53">
                  <c:v>914.27422972484783</c:v>
                </c:pt>
                <c:pt idx="54">
                  <c:v>914.27422972484783</c:v>
                </c:pt>
                <c:pt idx="55">
                  <c:v>914.27422972484783</c:v>
                </c:pt>
                <c:pt idx="56">
                  <c:v>914.27422972484783</c:v>
                </c:pt>
                <c:pt idx="57">
                  <c:v>914.27422972484783</c:v>
                </c:pt>
                <c:pt idx="58">
                  <c:v>914.27422972484783</c:v>
                </c:pt>
                <c:pt idx="59">
                  <c:v>914.27422972484783</c:v>
                </c:pt>
                <c:pt idx="60">
                  <c:v>914.27422972484783</c:v>
                </c:pt>
                <c:pt idx="61">
                  <c:v>914.27422972484783</c:v>
                </c:pt>
                <c:pt idx="62">
                  <c:v>914.27422972484783</c:v>
                </c:pt>
                <c:pt idx="63">
                  <c:v>914.27422972484783</c:v>
                </c:pt>
                <c:pt idx="64">
                  <c:v>914.27422972484783</c:v>
                </c:pt>
                <c:pt idx="65">
                  <c:v>914.27422972484783</c:v>
                </c:pt>
                <c:pt idx="66">
                  <c:v>914.27422972484783</c:v>
                </c:pt>
                <c:pt idx="67">
                  <c:v>914.27422972484783</c:v>
                </c:pt>
                <c:pt idx="68">
                  <c:v>914.27422972484783</c:v>
                </c:pt>
                <c:pt idx="69">
                  <c:v>914.27422972484783</c:v>
                </c:pt>
                <c:pt idx="70">
                  <c:v>914.27422972484783</c:v>
                </c:pt>
                <c:pt idx="71">
                  <c:v>914.27422972484783</c:v>
                </c:pt>
                <c:pt idx="72">
                  <c:v>914.27422972484783</c:v>
                </c:pt>
                <c:pt idx="73">
                  <c:v>914.27422972484783</c:v>
                </c:pt>
                <c:pt idx="74">
                  <c:v>914.27422972484783</c:v>
                </c:pt>
                <c:pt idx="75">
                  <c:v>914.27422972484783</c:v>
                </c:pt>
                <c:pt idx="76">
                  <c:v>914.27422972484783</c:v>
                </c:pt>
                <c:pt idx="77">
                  <c:v>914.27422972484783</c:v>
                </c:pt>
                <c:pt idx="78">
                  <c:v>914.27422972484783</c:v>
                </c:pt>
                <c:pt idx="79">
                  <c:v>914.27422972484783</c:v>
                </c:pt>
                <c:pt idx="80">
                  <c:v>914.27422972484783</c:v>
                </c:pt>
                <c:pt idx="81">
                  <c:v>914.27422972484783</c:v>
                </c:pt>
                <c:pt idx="82">
                  <c:v>914.27422972484783</c:v>
                </c:pt>
                <c:pt idx="83">
                  <c:v>914.27422972484783</c:v>
                </c:pt>
                <c:pt idx="84">
                  <c:v>914.27422972484783</c:v>
                </c:pt>
                <c:pt idx="85">
                  <c:v>914.27422972484783</c:v>
                </c:pt>
                <c:pt idx="86">
                  <c:v>914.27422972484783</c:v>
                </c:pt>
                <c:pt idx="87">
                  <c:v>914.27422972484783</c:v>
                </c:pt>
                <c:pt idx="88">
                  <c:v>914.27422972484783</c:v>
                </c:pt>
                <c:pt idx="89">
                  <c:v>914.27422972484783</c:v>
                </c:pt>
                <c:pt idx="90">
                  <c:v>914.27422972484783</c:v>
                </c:pt>
                <c:pt idx="91">
                  <c:v>914.27422972484783</c:v>
                </c:pt>
                <c:pt idx="92">
                  <c:v>914.27422972484783</c:v>
                </c:pt>
                <c:pt idx="93">
                  <c:v>914.27422972484783</c:v>
                </c:pt>
                <c:pt idx="94">
                  <c:v>914.27422972484783</c:v>
                </c:pt>
                <c:pt idx="95">
                  <c:v>914.27422972484783</c:v>
                </c:pt>
                <c:pt idx="96">
                  <c:v>914.27422972484783</c:v>
                </c:pt>
                <c:pt idx="97">
                  <c:v>914.27422972484783</c:v>
                </c:pt>
                <c:pt idx="98">
                  <c:v>914.27422972484783</c:v>
                </c:pt>
                <c:pt idx="99">
                  <c:v>914.27422972484783</c:v>
                </c:pt>
                <c:pt idx="100">
                  <c:v>914.27422972484783</c:v>
                </c:pt>
                <c:pt idx="101">
                  <c:v>914.27422972484783</c:v>
                </c:pt>
                <c:pt idx="102">
                  <c:v>914.27422972484783</c:v>
                </c:pt>
                <c:pt idx="103">
                  <c:v>914.27422972484783</c:v>
                </c:pt>
                <c:pt idx="104">
                  <c:v>914.27422972484783</c:v>
                </c:pt>
                <c:pt idx="105">
                  <c:v>914.27422972484783</c:v>
                </c:pt>
                <c:pt idx="106">
                  <c:v>914.27422972484783</c:v>
                </c:pt>
                <c:pt idx="107">
                  <c:v>914.27422972484783</c:v>
                </c:pt>
                <c:pt idx="108">
                  <c:v>914.27422972484783</c:v>
                </c:pt>
                <c:pt idx="109">
                  <c:v>914.27422972484783</c:v>
                </c:pt>
                <c:pt idx="110">
                  <c:v>914.27422972484783</c:v>
                </c:pt>
              </c:numCache>
            </c:numRef>
          </c:yVal>
          <c:smooth val="0"/>
          <c:extLst>
            <c:ext xmlns:c16="http://schemas.microsoft.com/office/drawing/2014/chart" uri="{C3380CC4-5D6E-409C-BE32-E72D297353CC}">
              <c16:uniqueId val="{00000000-6938-4C46-BBA4-443EE9246492}"/>
            </c:ext>
          </c:extLst>
        </c:ser>
        <c:dLbls>
          <c:showLegendKey val="0"/>
          <c:showVal val="0"/>
          <c:showCatName val="0"/>
          <c:showSerName val="0"/>
          <c:showPercent val="0"/>
          <c:showBubbleSize val="0"/>
        </c:dLbls>
        <c:axId val="914885888"/>
        <c:axId val="914886872"/>
      </c:scatterChart>
      <c:valAx>
        <c:axId val="914885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ysClr val="windowText" lastClr="000000"/>
            </a:solidFill>
            <a:round/>
          </a:ln>
          <a:effectLst/>
        </c:spPr>
        <c:txPr>
          <a:bodyPr rot="-60000000" vert="horz"/>
          <a:lstStyle/>
          <a:p>
            <a:pPr>
              <a:defRPr/>
            </a:pPr>
            <a:endParaRPr lang="ja-JP"/>
          </a:p>
        </c:txPr>
        <c:crossAx val="914886872"/>
        <c:crosses val="autoZero"/>
        <c:crossBetween val="midCat"/>
        <c:majorUnit val="10"/>
      </c:valAx>
      <c:valAx>
        <c:axId val="914886872"/>
        <c:scaling>
          <c:orientation val="minMax"/>
          <c:max val="40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w="9525" cap="flat" cmpd="sng" algn="ctr">
            <a:solidFill>
              <a:sysClr val="windowText" lastClr="000000"/>
            </a:solidFill>
            <a:round/>
          </a:ln>
          <a:effectLst/>
        </c:spPr>
        <c:txPr>
          <a:bodyPr rot="-60000000" vert="horz"/>
          <a:lstStyle/>
          <a:p>
            <a:pPr>
              <a:defRPr/>
            </a:pPr>
            <a:endParaRPr lang="ja-JP"/>
          </a:p>
        </c:txPr>
        <c:crossAx val="914885888"/>
        <c:crosses val="autoZero"/>
        <c:crossBetween val="midCat"/>
        <c:majorUnit val="500"/>
      </c:valAx>
      <c:spPr>
        <a:ln>
          <a:solidFill>
            <a:schemeClr val="tx1"/>
          </a:solidFill>
        </a:ln>
      </c:spPr>
    </c:plotArea>
    <c:legend>
      <c:legendPos val="l"/>
      <c:layout>
        <c:manualLayout>
          <c:xMode val="edge"/>
          <c:yMode val="edge"/>
          <c:x val="0.68505747126436789"/>
          <c:y val="0.19911758530183721"/>
          <c:w val="0.21149425287356322"/>
          <c:h val="0.18223097112860892"/>
        </c:manualLayout>
      </c:layout>
      <c:overlay val="0"/>
      <c:spPr>
        <a:solidFill>
          <a:schemeClr val="bg1"/>
        </a:solidFill>
        <a:ln>
          <a:solidFill>
            <a:sysClr val="windowText" lastClr="000000"/>
          </a:solidFill>
        </a:ln>
      </c:spPr>
    </c:legend>
    <c:plotVisOnly val="1"/>
    <c:dispBlanksAs val="span"/>
    <c:showDLblsOverMax val="0"/>
  </c:chart>
  <c:spPr>
    <a:ln>
      <a:noFill/>
    </a:ln>
  </c:spPr>
  <c:txPr>
    <a:bodyPr/>
    <a:lstStyle/>
    <a:p>
      <a:pPr>
        <a:defRPr sz="800"/>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ja-JP" altLang="en-US"/>
              <a:t>単木材積</a:t>
            </a:r>
            <a:endParaRPr lang="en-US"/>
          </a:p>
        </c:rich>
      </c:tx>
      <c:layout>
        <c:manualLayout>
          <c:xMode val="edge"/>
          <c:yMode val="edge"/>
          <c:x val="0.47066666666666668"/>
          <c:y val="0"/>
        </c:manualLayout>
      </c:layout>
      <c:overlay val="0"/>
      <c:spPr>
        <a:noFill/>
        <a:ln>
          <a:noFill/>
        </a:ln>
        <a:effectLst/>
      </c:spPr>
    </c:title>
    <c:autoTitleDeleted val="0"/>
    <c:plotArea>
      <c:layout>
        <c:manualLayout>
          <c:layoutTarget val="inner"/>
          <c:xMode val="edge"/>
          <c:yMode val="edge"/>
          <c:x val="9.1683430082188641E-2"/>
          <c:y val="0.10248286128413053"/>
          <c:w val="0.90049254152509284"/>
          <c:h val="0.76243036784581031"/>
        </c:manualLayout>
      </c:layout>
      <c:scatterChart>
        <c:scatterStyle val="lineMarker"/>
        <c:varyColors val="0"/>
        <c:ser>
          <c:idx val="0"/>
          <c:order val="0"/>
          <c:tx>
            <c:v>自動</c:v>
          </c:tx>
          <c:marker>
            <c:symbol val="none"/>
          </c:marker>
          <c:xVal>
            <c:numRef>
              <c:f>'a（自動）計算用'!$D$5:$D$115</c:f>
              <c:numCache>
                <c:formatCode>General</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'a（自動）計算用'!$J$5:$J$115</c:f>
              <c:numCache>
                <c:formatCode>0.00_ </c:formatCode>
                <c:ptCount val="111"/>
                <c:pt idx="0">
                  <c:v>4.2616671319891421E-2</c:v>
                </c:pt>
                <c:pt idx="1">
                  <c:v>5.1759715214016684E-2</c:v>
                </c:pt>
                <c:pt idx="2">
                  <c:v>6.170121950473885E-2</c:v>
                </c:pt>
                <c:pt idx="3">
                  <c:v>7.2185200991006268E-2</c:v>
                </c:pt>
                <c:pt idx="4">
                  <c:v>8.3178583574442452E-2</c:v>
                </c:pt>
                <c:pt idx="5">
                  <c:v>9.4625566578361145E-2</c:v>
                </c:pt>
                <c:pt idx="6">
                  <c:v>0.10647548327071617</c:v>
                </c:pt>
                <c:pt idx="7">
                  <c:v>0.11868213176305169</c:v>
                </c:pt>
                <c:pt idx="8">
                  <c:v>0.13120317572038015</c:v>
                </c:pt>
                <c:pt idx="9">
                  <c:v>0.17268607395064361</c:v>
                </c:pt>
                <c:pt idx="10">
                  <c:v>0.18829007708615858</c:v>
                </c:pt>
                <c:pt idx="11">
                  <c:v>0.20403125426936453</c:v>
                </c:pt>
                <c:pt idx="12">
                  <c:v>0.21986199098639192</c:v>
                </c:pt>
                <c:pt idx="13">
                  <c:v>0.23573940263346602</c:v>
                </c:pt>
                <c:pt idx="14">
                  <c:v>0.25162493693448484</c:v>
                </c:pt>
                <c:pt idx="15">
                  <c:v>0.31887644531560277</c:v>
                </c:pt>
                <c:pt idx="16">
                  <c:v>0.33885449986498761</c:v>
                </c:pt>
                <c:pt idx="17">
                  <c:v>0.35879413258515619</c:v>
                </c:pt>
                <c:pt idx="18">
                  <c:v>0.3786588808186544</c:v>
                </c:pt>
                <c:pt idx="19">
                  <c:v>0.39841594009346309</c:v>
                </c:pt>
                <c:pt idx="20">
                  <c:v>0.41803590594230067</c:v>
                </c:pt>
                <c:pt idx="21">
                  <c:v>0.43749252946780559</c:v>
                </c:pt>
                <c:pt idx="22">
                  <c:v>0.45676248623440469</c:v>
                </c:pt>
                <c:pt idx="23">
                  <c:v>0.47582515791448587</c:v>
                </c:pt>
                <c:pt idx="24">
                  <c:v>0.58725277777198115</c:v>
                </c:pt>
                <c:pt idx="25">
                  <c:v>0.61062952693680994</c:v>
                </c:pt>
                <c:pt idx="26">
                  <c:v>0.633737361261409</c:v>
                </c:pt>
                <c:pt idx="27">
                  <c:v>0.65655743687547141</c:v>
                </c:pt>
                <c:pt idx="28">
                  <c:v>0.67907334310706402</c:v>
                </c:pt>
                <c:pt idx="29">
                  <c:v>0.70127091545179521</c:v>
                </c:pt>
                <c:pt idx="30">
                  <c:v>0.72313805713622092</c:v>
                </c:pt>
                <c:pt idx="31">
                  <c:v>0.74466456952963367</c:v>
                </c:pt>
                <c:pt idx="32">
                  <c:v>0.7658419915757152</c:v>
                </c:pt>
                <c:pt idx="33">
                  <c:v>0.78666344833309121</c:v>
                </c:pt>
                <c:pt idx="34">
                  <c:v>0.80712350863302085</c:v>
                </c:pt>
                <c:pt idx="35">
                  <c:v>0.82721805178527641</c:v>
                </c:pt>
                <c:pt idx="36">
                  <c:v>0.8469441431914706</c:v>
                </c:pt>
                <c:pt idx="37">
                  <c:v>0.86629991866031641</c:v>
                </c:pt>
                <c:pt idx="38">
                  <c:v>0.88528447716268799</c:v>
                </c:pt>
                <c:pt idx="39">
                  <c:v>1.0612836314871243</c:v>
                </c:pt>
                <c:pt idx="40">
                  <c:v>1.0838770508021227</c:v>
                </c:pt>
                <c:pt idx="41">
                  <c:v>1.1060388348802741</c:v>
                </c:pt>
                <c:pt idx="42">
                  <c:v>1.1277694549104957</c:v>
                </c:pt>
                <c:pt idx="43">
                  <c:v>1.1490701742019473</c:v>
                </c:pt>
                <c:pt idx="44">
                  <c:v>1.1699429637621841</c:v>
                </c:pt>
                <c:pt idx="45">
                  <c:v>1.1903904248826698</c:v>
                </c:pt>
                <c:pt idx="46">
                  <c:v>1.2104157182997441</c:v>
                </c:pt>
                <c:pt idx="47">
                  <c:v>1.2300224994981088</c:v>
                </c:pt>
                <c:pt idx="48">
                  <c:v>1.2492148597293575</c:v>
                </c:pt>
                <c:pt idx="49">
                  <c:v>1.2679972723285839</c:v>
                </c:pt>
                <c:pt idx="50">
                  <c:v>1.2863745439266019</c:v>
                </c:pt>
                <c:pt idx="51">
                  <c:v>1.3043517701727858</c:v>
                </c:pt>
                <c:pt idx="52">
                  <c:v>1.3219342956030593</c:v>
                </c:pt>
                <c:pt idx="53">
                  <c:v>1.3391276773084562</c:v>
                </c:pt>
                <c:pt idx="54">
                  <c:v>1.3559376520812021</c:v>
                </c:pt>
                <c:pt idx="55">
                  <c:v>1.3723701067371463</c:v>
                </c:pt>
                <c:pt idx="56">
                  <c:v>1.3884310513348148</c:v>
                </c:pt>
                <c:pt idx="57">
                  <c:v>1.4041265950325519</c:v>
                </c:pt>
                <c:pt idx="58">
                  <c:v>1.41946292434541</c:v>
                </c:pt>
                <c:pt idx="59">
                  <c:v>1.4344462835829075</c:v>
                </c:pt>
                <c:pt idx="60">
                  <c:v>1.4490829572670652</c:v>
                </c:pt>
                <c:pt idx="61">
                  <c:v>1.4633792543473936</c:v>
                </c:pt>
                <c:pt idx="62">
                  <c:v>1.4773414940455449</c:v>
                </c:pt>
                <c:pt idx="63">
                  <c:v>1.4909759931773459</c:v>
                </c:pt>
                <c:pt idx="64">
                  <c:v>1.5042890548136831</c:v>
                </c:pt>
                <c:pt idx="65">
                  <c:v>1.5172869581544381</c:v>
                </c:pt>
                <c:pt idx="66">
                  <c:v>1.5299759495013459</c:v>
                </c:pt>
                <c:pt idx="67">
                  <c:v>1.5423622342262884</c:v>
                </c:pt>
                <c:pt idx="68">
                  <c:v>1.5544519696412995</c:v>
                </c:pt>
                <c:pt idx="69">
                  <c:v>1.5662512586853545</c:v>
                </c:pt>
                <c:pt idx="70">
                  <c:v>1.5777661443511548</c:v>
                </c:pt>
                <c:pt idx="71">
                  <c:v>1.5890026047822861</c:v>
                </c:pt>
                <c:pt idx="72">
                  <c:v>1.599966548977841</c:v>
                </c:pt>
                <c:pt idx="73">
                  <c:v>1.6106638130475337</c:v>
                </c:pt>
                <c:pt idx="74">
                  <c:v>1.6211001569657046</c:v>
                </c:pt>
                <c:pt idx="75">
                  <c:v>1.9100110498234746</c:v>
                </c:pt>
                <c:pt idx="76">
                  <c:v>1.9222624294348925</c:v>
                </c:pt>
                <c:pt idx="77">
                  <c:v>1.9342168103684365</c:v>
                </c:pt>
                <c:pt idx="78">
                  <c:v>1.9458805642318222</c:v>
                </c:pt>
                <c:pt idx="79">
                  <c:v>1.9572599762851397</c:v>
                </c:pt>
                <c:pt idx="80">
                  <c:v>1.9683612429571771</c:v>
                </c:pt>
                <c:pt idx="81">
                  <c:v>1.9791904697314067</c:v>
                </c:pt>
                <c:pt idx="82">
                  <c:v>1.9897536693695488</c:v>
                </c:pt>
                <c:pt idx="83">
                  <c:v>2.0000567604434223</c:v>
                </c:pt>
                <c:pt idx="84">
                  <c:v>2.0101055661481948</c:v>
                </c:pt>
                <c:pt idx="85">
                  <c:v>2.0199058133725418</c:v>
                </c:pt>
                <c:pt idx="86">
                  <c:v>2.0294631320031478</c:v>
                </c:pt>
                <c:pt idx="87">
                  <c:v>2.0387830544429604</c:v>
                </c:pt>
                <c:pt idx="88">
                  <c:v>2.0478710153242652</c:v>
                </c:pt>
                <c:pt idx="89">
                  <c:v>2.0567323513991846</c:v>
                </c:pt>
                <c:pt idx="90">
                  <c:v>2.0653723015917049</c:v>
                </c:pt>
                <c:pt idx="91">
                  <c:v>2.0737960071964929</c:v>
                </c:pt>
                <c:pt idx="92">
                  <c:v>2.0820085122110825</c:v>
                </c:pt>
                <c:pt idx="93">
                  <c:v>2.0900147637889845</c:v>
                </c:pt>
                <c:pt idx="94">
                  <c:v>2.0978196128023163</c:v>
                </c:pt>
                <c:pt idx="95">
                  <c:v>2.1054278145034395</c:v>
                </c:pt>
                <c:pt idx="96">
                  <c:v>2.1128440292758768</c:v>
                </c:pt>
                <c:pt idx="97">
                  <c:v>2.1200728234656578</c:v>
                </c:pt>
                <c:pt idx="98">
                  <c:v>2.12711867028476</c:v>
                </c:pt>
                <c:pt idx="99">
                  <c:v>2.133985950779135</c:v>
                </c:pt>
                <c:pt idx="100">
                  <c:v>2.1406789548542684</c:v>
                </c:pt>
                <c:pt idx="101">
                  <c:v>2.1472018823518444</c:v>
                </c:pt>
                <c:pt idx="102">
                  <c:v>2.1535588441715232</c:v>
                </c:pt>
                <c:pt idx="103">
                  <c:v>2.1597538634323468</c:v>
                </c:pt>
                <c:pt idx="104">
                  <c:v>2.1657908766687304</c:v>
                </c:pt>
                <c:pt idx="105">
                  <c:v>2.171673735056288</c:v>
                </c:pt>
                <c:pt idx="106">
                  <c:v>2.177406205663253</c:v>
                </c:pt>
                <c:pt idx="107">
                  <c:v>2.1829919727234581</c:v>
                </c:pt>
                <c:pt idx="108">
                  <c:v>2.1884346389272253</c:v>
                </c:pt>
                <c:pt idx="109">
                  <c:v>2.1937377267268081</c:v>
                </c:pt>
                <c:pt idx="110">
                  <c:v>2.1989046796532077</c:v>
                </c:pt>
              </c:numCache>
            </c:numRef>
          </c:yVal>
          <c:smooth val="0"/>
          <c:extLst>
            <c:ext xmlns:c16="http://schemas.microsoft.com/office/drawing/2014/chart" uri="{C3380CC4-5D6E-409C-BE32-E72D297353CC}">
              <c16:uniqueId val="{00000001-706A-4202-A31C-111A7FD84CF6}"/>
            </c:ext>
          </c:extLst>
        </c:ser>
        <c:ser>
          <c:idx val="1"/>
          <c:order val="1"/>
          <c:tx>
            <c:v>手動</c:v>
          </c:tx>
          <c:marker>
            <c:symbol val="none"/>
          </c:marker>
          <c:xVal>
            <c:numRef>
              <c:f>'b（手動）計算用'!$D$5:$D$115</c:f>
              <c:numCache>
                <c:formatCode>General</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'b（手動）計算用'!$J$5:$J$115</c:f>
              <c:numCache>
                <c:formatCode>0.00_ </c:formatCode>
                <c:ptCount val="111"/>
                <c:pt idx="0">
                  <c:v>4.2616671319891421E-2</c:v>
                </c:pt>
                <c:pt idx="1">
                  <c:v>5.1759715214016684E-2</c:v>
                </c:pt>
                <c:pt idx="2">
                  <c:v>6.170121950473885E-2</c:v>
                </c:pt>
                <c:pt idx="3">
                  <c:v>7.2185200991006268E-2</c:v>
                </c:pt>
                <c:pt idx="4">
                  <c:v>8.3178583574442452E-2</c:v>
                </c:pt>
                <c:pt idx="5">
                  <c:v>9.4625566578361145E-2</c:v>
                </c:pt>
                <c:pt idx="6">
                  <c:v>0.10647548327071617</c:v>
                </c:pt>
                <c:pt idx="7">
                  <c:v>0.11868213176305169</c:v>
                </c:pt>
                <c:pt idx="8">
                  <c:v>0.13120317572038015</c:v>
                </c:pt>
                <c:pt idx="9">
                  <c:v>0.14399962857291512</c:v>
                </c:pt>
                <c:pt idx="10">
                  <c:v>0.15703542081058933</c:v>
                </c:pt>
                <c:pt idx="11">
                  <c:v>0.17027704326864862</c:v>
                </c:pt>
                <c:pt idx="12">
                  <c:v>0.18369325668352329</c:v>
                </c:pt>
                <c:pt idx="13">
                  <c:v>0.19725485728184891</c:v>
                </c:pt>
                <c:pt idx="14">
                  <c:v>0.21093448868642978</c:v>
                </c:pt>
                <c:pt idx="15">
                  <c:v>0.2247064913972702</c:v>
                </c:pt>
                <c:pt idx="16">
                  <c:v>0.23854678222733527</c:v>
                </c:pt>
                <c:pt idx="17">
                  <c:v>0.25243275718911268</c:v>
                </c:pt>
                <c:pt idx="18">
                  <c:v>0.26634321236966912</c:v>
                </c:pt>
                <c:pt idx="19">
                  <c:v>0.28025827827207689</c:v>
                </c:pt>
                <c:pt idx="20">
                  <c:v>0.29415936393409176</c:v>
                </c:pt>
                <c:pt idx="21">
                  <c:v>0.38601600265117758</c:v>
                </c:pt>
                <c:pt idx="22">
                  <c:v>0.40236796976272765</c:v>
                </c:pt>
                <c:pt idx="23">
                  <c:v>0.41851835316430375</c:v>
                </c:pt>
                <c:pt idx="24">
                  <c:v>0.43445395069538634</c:v>
                </c:pt>
                <c:pt idx="25">
                  <c:v>0.45016340264645999</c:v>
                </c:pt>
                <c:pt idx="26">
                  <c:v>0.46563703427539443</c:v>
                </c:pt>
                <c:pt idx="27">
                  <c:v>0.48086670907955376</c:v>
                </c:pt>
                <c:pt idx="28">
                  <c:v>0.49584569206773471</c:v>
                </c:pt>
                <c:pt idx="29">
                  <c:v>0.51056852239455663</c:v>
                </c:pt>
                <c:pt idx="30">
                  <c:v>0.52503089481318554</c:v>
                </c:pt>
                <c:pt idx="31">
                  <c:v>0.6219906384423467</c:v>
                </c:pt>
                <c:pt idx="32">
                  <c:v>0.6387123630539463</c:v>
                </c:pt>
                <c:pt idx="33">
                  <c:v>0.6551281578805207</c:v>
                </c:pt>
                <c:pt idx="34">
                  <c:v>0.67123581942420596</c:v>
                </c:pt>
                <c:pt idx="35">
                  <c:v>0.68703405344009139</c:v>
                </c:pt>
                <c:pt idx="36">
                  <c:v>0.7025223808668829</c:v>
                </c:pt>
                <c:pt idx="37">
                  <c:v>0.71770105109378557</c:v>
                </c:pt>
                <c:pt idx="38">
                  <c:v>0.7325709622106471</c:v>
                </c:pt>
                <c:pt idx="39">
                  <c:v>0.747133587876459</c:v>
                </c:pt>
                <c:pt idx="40">
                  <c:v>0.76139091043293206</c:v>
                </c:pt>
                <c:pt idx="41">
                  <c:v>0.77534535988546072</c:v>
                </c:pt>
                <c:pt idx="42">
                  <c:v>0.78899975837341019</c:v>
                </c:pt>
                <c:pt idx="43">
                  <c:v>0.80235726975522648</c:v>
                </c:pt>
                <c:pt idx="44">
                  <c:v>0.81542135394095006</c:v>
                </c:pt>
                <c:pt idx="45">
                  <c:v>0.82819572561495813</c:v>
                </c:pt>
                <c:pt idx="46">
                  <c:v>0.96879873210879464</c:v>
                </c:pt>
                <c:pt idx="47">
                  <c:v>0.98342865158053527</c:v>
                </c:pt>
                <c:pt idx="48">
                  <c:v>0.99773357311548982</c:v>
                </c:pt>
                <c:pt idx="49">
                  <c:v>1.0117181272233688</c:v>
                </c:pt>
                <c:pt idx="50">
                  <c:v>1.0253871112888739</c:v>
                </c:pt>
                <c:pt idx="51">
                  <c:v>1.0387454609487032</c:v>
                </c:pt>
                <c:pt idx="52">
                  <c:v>1.0517982244110489</c:v>
                </c:pt>
                <c:pt idx="53">
                  <c:v>1.0645505394492714</c:v>
                </c:pt>
                <c:pt idx="54">
                  <c:v>1.0770076128214428</c:v>
                </c:pt>
                <c:pt idx="55">
                  <c:v>1.0891747018870044</c:v>
                </c:pt>
                <c:pt idx="56">
                  <c:v>1.1010570982103898</c:v>
                </c:pt>
                <c:pt idx="57">
                  <c:v>1.1126601129593672</c:v>
                </c:pt>
                <c:pt idx="58">
                  <c:v>1.1239890639225818</c:v>
                </c:pt>
                <c:pt idx="59">
                  <c:v>1.1350492639865601</c:v>
                </c:pt>
                <c:pt idx="60">
                  <c:v>1.1458460109270796</c:v>
                </c:pt>
                <c:pt idx="61">
                  <c:v>1.1563845783833997</c:v>
                </c:pt>
                <c:pt idx="62">
                  <c:v>1.1666702078963254</c:v>
                </c:pt>
                <c:pt idx="63">
                  <c:v>1.1767081019026238</c:v>
                </c:pt>
                <c:pt idx="64">
                  <c:v>1.1865034175887577</c:v>
                </c:pt>
                <c:pt idx="65">
                  <c:v>1.1960612615165087</c:v>
                </c:pt>
                <c:pt idx="66">
                  <c:v>1.2053866849417547</c:v>
                </c:pt>
                <c:pt idx="67">
                  <c:v>1.2144846797555513</c:v>
                </c:pt>
                <c:pt idx="68">
                  <c:v>1.2233601749838197</c:v>
                </c:pt>
                <c:pt idx="69">
                  <c:v>1.2320180337883466</c:v>
                </c:pt>
                <c:pt idx="70">
                  <c:v>1.2404630509176864</c:v>
                </c:pt>
                <c:pt idx="71">
                  <c:v>1.2486999505616738</c:v>
                </c:pt>
                <c:pt idx="72">
                  <c:v>1.2567333845680555</c:v>
                </c:pt>
                <c:pt idx="73">
                  <c:v>1.2645679309839144</c:v>
                </c:pt>
                <c:pt idx="74">
                  <c:v>1.2722080928883592</c:v>
                </c:pt>
                <c:pt idx="75">
                  <c:v>1.279658297486352</c:v>
                </c:pt>
                <c:pt idx="76">
                  <c:v>1.2869228954365686</c:v>
                </c:pt>
                <c:pt idx="77">
                  <c:v>1.2940061603889765</c:v>
                </c:pt>
                <c:pt idx="78">
                  <c:v>1.3009122887101596</c:v>
                </c:pt>
                <c:pt idx="79">
                  <c:v>1.3076453993767005</c:v>
                </c:pt>
                <c:pt idx="80">
                  <c:v>1.3142095340188396</c:v>
                </c:pt>
                <c:pt idx="81">
                  <c:v>1.3206086570984057</c:v>
                </c:pt>
                <c:pt idx="82">
                  <c:v>1.3268466562065702</c:v>
                </c:pt>
                <c:pt idx="83">
                  <c:v>1.3329273424684287</c:v>
                </c:pt>
                <c:pt idx="84">
                  <c:v>1.3388544510426115</c:v>
                </c:pt>
                <c:pt idx="85">
                  <c:v>1.3446316417053499</c:v>
                </c:pt>
                <c:pt idx="86">
                  <c:v>1.3502624995093553</c:v>
                </c:pt>
                <c:pt idx="87">
                  <c:v>1.3557505355088539</c:v>
                </c:pt>
                <c:pt idx="88">
                  <c:v>1.3610991875429133</c:v>
                </c:pt>
                <c:pt idx="89">
                  <c:v>1.3663118210699279</c:v>
                </c:pt>
                <c:pt idx="90">
                  <c:v>1.3713917300468483</c:v>
                </c:pt>
                <c:pt idx="91">
                  <c:v>1.3763421378472771</c:v>
                </c:pt>
                <c:pt idx="92">
                  <c:v>1.3811661982131491</c:v>
                </c:pt>
                <c:pt idx="93">
                  <c:v>1.3858669962351871</c:v>
                </c:pt>
                <c:pt idx="94">
                  <c:v>1.3904475493577557</c:v>
                </c:pt>
                <c:pt idx="95">
                  <c:v>1.3949108084041728</c:v>
                </c:pt>
                <c:pt idx="96">
                  <c:v>1.3992596586188466</c:v>
                </c:pt>
                <c:pt idx="97">
                  <c:v>1.4034969207230255</c:v>
                </c:pt>
                <c:pt idx="98">
                  <c:v>1.4076253519811306</c:v>
                </c:pt>
                <c:pt idx="99">
                  <c:v>1.4116476472750283</c:v>
                </c:pt>
                <c:pt idx="100">
                  <c:v>1.4155664401837706</c:v>
                </c:pt>
                <c:pt idx="101">
                  <c:v>1.4193843040665988</c:v>
                </c:pt>
                <c:pt idx="102">
                  <c:v>1.4231037531471797</c:v>
                </c:pt>
                <c:pt idx="103">
                  <c:v>1.426727243597266</c:v>
                </c:pt>
                <c:pt idx="104">
                  <c:v>1.4302571746181301</c:v>
                </c:pt>
                <c:pt idx="105">
                  <c:v>1.4336958895182492</c:v>
                </c:pt>
                <c:pt idx="106">
                  <c:v>1.4370456767859237</c:v>
                </c:pt>
                <c:pt idx="107">
                  <c:v>1.4403087711555855</c:v>
                </c:pt>
                <c:pt idx="108">
                  <c:v>1.4434873546666951</c:v>
                </c:pt>
                <c:pt idx="109">
                  <c:v>1.4465835577142645</c:v>
                </c:pt>
                <c:pt idx="110">
                  <c:v>1.4495994600900701</c:v>
                </c:pt>
              </c:numCache>
            </c:numRef>
          </c:yVal>
          <c:smooth val="0"/>
          <c:extLst>
            <c:ext xmlns:c16="http://schemas.microsoft.com/office/drawing/2014/chart" uri="{C3380CC4-5D6E-409C-BE32-E72D297353CC}">
              <c16:uniqueId val="{00000000-706A-4202-A31C-111A7FD84CF6}"/>
            </c:ext>
          </c:extLst>
        </c:ser>
        <c:dLbls>
          <c:showLegendKey val="0"/>
          <c:showVal val="0"/>
          <c:showCatName val="0"/>
          <c:showSerName val="0"/>
          <c:showPercent val="0"/>
          <c:showBubbleSize val="0"/>
        </c:dLbls>
        <c:axId val="914885888"/>
        <c:axId val="914886872"/>
      </c:scatterChart>
      <c:valAx>
        <c:axId val="914885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ysClr val="windowText" lastClr="000000"/>
            </a:solidFill>
            <a:round/>
          </a:ln>
          <a:effectLst/>
        </c:spPr>
        <c:txPr>
          <a:bodyPr rot="-60000000" vert="horz"/>
          <a:lstStyle/>
          <a:p>
            <a:pPr>
              <a:defRPr/>
            </a:pPr>
            <a:endParaRPr lang="ja-JP"/>
          </a:p>
        </c:txPr>
        <c:crossAx val="914886872"/>
        <c:crosses val="autoZero"/>
        <c:crossBetween val="midCat"/>
        <c:majorUnit val="10"/>
      </c:valAx>
      <c:valAx>
        <c:axId val="914886872"/>
        <c:scaling>
          <c:orientation val="minMax"/>
          <c:max val="5"/>
          <c:min val="0"/>
        </c:scaling>
        <c:delete val="0"/>
        <c:axPos val="l"/>
        <c:majorGridlines>
          <c:spPr>
            <a:ln w="9525" cap="flat" cmpd="sng" algn="ctr">
              <a:solidFill>
                <a:schemeClr val="tx1">
                  <a:lumMod val="15000"/>
                  <a:lumOff val="85000"/>
                </a:schemeClr>
              </a:solidFill>
              <a:round/>
            </a:ln>
            <a:effectLst/>
          </c:spPr>
        </c:majorGridlines>
        <c:numFmt formatCode="0.0_ " sourceLinked="0"/>
        <c:majorTickMark val="none"/>
        <c:minorTickMark val="none"/>
        <c:tickLblPos val="nextTo"/>
        <c:spPr>
          <a:noFill/>
          <a:ln w="9525" cap="flat" cmpd="sng" algn="ctr">
            <a:solidFill>
              <a:sysClr val="windowText" lastClr="000000"/>
            </a:solidFill>
            <a:round/>
          </a:ln>
          <a:effectLst/>
        </c:spPr>
        <c:txPr>
          <a:bodyPr rot="-60000000" vert="horz"/>
          <a:lstStyle/>
          <a:p>
            <a:pPr>
              <a:defRPr/>
            </a:pPr>
            <a:endParaRPr lang="ja-JP"/>
          </a:p>
        </c:txPr>
        <c:crossAx val="914885888"/>
        <c:crosses val="autoZero"/>
        <c:crossBetween val="midCat"/>
        <c:majorUnit val="0.5"/>
      </c:valAx>
      <c:spPr>
        <a:ln>
          <a:solidFill>
            <a:schemeClr val="tx1"/>
          </a:solidFill>
        </a:ln>
      </c:spPr>
    </c:plotArea>
    <c:legend>
      <c:legendPos val="l"/>
      <c:layout>
        <c:manualLayout>
          <c:xMode val="edge"/>
          <c:yMode val="edge"/>
          <c:x val="0.13625304136253041"/>
          <c:y val="0.16744727804546822"/>
          <c:w val="0.22384428223844283"/>
          <c:h val="0.18795784855251302"/>
        </c:manualLayout>
      </c:layout>
      <c:overlay val="0"/>
      <c:spPr>
        <a:solidFill>
          <a:schemeClr val="bg1"/>
        </a:solidFill>
        <a:ln>
          <a:solidFill>
            <a:sysClr val="windowText" lastClr="000000"/>
          </a:solidFill>
        </a:ln>
      </c:spPr>
    </c:legend>
    <c:plotVisOnly val="1"/>
    <c:dispBlanksAs val="gap"/>
    <c:showDLblsOverMax val="0"/>
  </c:chart>
  <c:spPr>
    <a:ln>
      <a:noFill/>
    </a:ln>
  </c:spPr>
  <c:txPr>
    <a:bodyPr/>
    <a:lstStyle/>
    <a:p>
      <a:pPr>
        <a:defRPr sz="80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ltLang="ja-JP"/>
              <a:t>Ry</a:t>
            </a:r>
            <a:endParaRPr lang="en-US"/>
          </a:p>
        </c:rich>
      </c:tx>
      <c:layout>
        <c:manualLayout>
          <c:xMode val="edge"/>
          <c:yMode val="edge"/>
          <c:x val="0.47066666666666668"/>
          <c:y val="0"/>
        </c:manualLayout>
      </c:layout>
      <c:overlay val="0"/>
      <c:spPr>
        <a:noFill/>
        <a:ln>
          <a:noFill/>
        </a:ln>
        <a:effectLst/>
      </c:spPr>
    </c:title>
    <c:autoTitleDeleted val="0"/>
    <c:plotArea>
      <c:layout>
        <c:manualLayout>
          <c:layoutTarget val="inner"/>
          <c:xMode val="edge"/>
          <c:yMode val="edge"/>
          <c:x val="9.1683430082188641E-2"/>
          <c:y val="0.10248286128413053"/>
          <c:w val="0.90049254152509284"/>
          <c:h val="0.76243036784581031"/>
        </c:manualLayout>
      </c:layout>
      <c:scatterChart>
        <c:scatterStyle val="lineMarker"/>
        <c:varyColors val="0"/>
        <c:ser>
          <c:idx val="0"/>
          <c:order val="0"/>
          <c:tx>
            <c:v>自動</c:v>
          </c:tx>
          <c:marker>
            <c:symbol val="none"/>
          </c:marker>
          <c:xVal>
            <c:numRef>
              <c:f>'a（自動）計算用'!$D$5:$D$115</c:f>
              <c:numCache>
                <c:formatCode>General</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'a（自動）計算用'!$K$5:$K$115</c:f>
              <c:numCache>
                <c:formatCode>0.00_ </c:formatCode>
                <c:ptCount val="111"/>
                <c:pt idx="0">
                  <c:v>0.53</c:v>
                </c:pt>
                <c:pt idx="1">
                  <c:v>0.56999999999999995</c:v>
                </c:pt>
                <c:pt idx="2">
                  <c:v>0.61</c:v>
                </c:pt>
                <c:pt idx="3">
                  <c:v>0.64</c:v>
                </c:pt>
                <c:pt idx="4">
                  <c:v>0.67</c:v>
                </c:pt>
                <c:pt idx="5">
                  <c:v>0.7</c:v>
                </c:pt>
                <c:pt idx="6">
                  <c:v>0.72</c:v>
                </c:pt>
                <c:pt idx="7">
                  <c:v>0.74</c:v>
                </c:pt>
                <c:pt idx="8">
                  <c:v>0.76</c:v>
                </c:pt>
                <c:pt idx="9">
                  <c:v>0.67</c:v>
                </c:pt>
                <c:pt idx="10">
                  <c:v>0.69</c:v>
                </c:pt>
                <c:pt idx="11">
                  <c:v>0.7</c:v>
                </c:pt>
                <c:pt idx="12">
                  <c:v>0.72</c:v>
                </c:pt>
                <c:pt idx="13">
                  <c:v>0.74</c:v>
                </c:pt>
                <c:pt idx="14">
                  <c:v>0.75</c:v>
                </c:pt>
                <c:pt idx="15">
                  <c:v>0.66</c:v>
                </c:pt>
                <c:pt idx="16">
                  <c:v>0.67</c:v>
                </c:pt>
                <c:pt idx="17">
                  <c:v>0.68</c:v>
                </c:pt>
                <c:pt idx="18">
                  <c:v>0.7</c:v>
                </c:pt>
                <c:pt idx="19">
                  <c:v>0.71</c:v>
                </c:pt>
                <c:pt idx="20">
                  <c:v>0.72</c:v>
                </c:pt>
                <c:pt idx="21">
                  <c:v>0.73</c:v>
                </c:pt>
                <c:pt idx="22">
                  <c:v>0.74</c:v>
                </c:pt>
                <c:pt idx="23">
                  <c:v>0.75</c:v>
                </c:pt>
                <c:pt idx="24">
                  <c:v>0.65</c:v>
                </c:pt>
                <c:pt idx="25">
                  <c:v>0.66</c:v>
                </c:pt>
                <c:pt idx="26">
                  <c:v>0.67</c:v>
                </c:pt>
                <c:pt idx="27">
                  <c:v>0.68</c:v>
                </c:pt>
                <c:pt idx="28">
                  <c:v>0.68</c:v>
                </c:pt>
                <c:pt idx="29">
                  <c:v>0.69</c:v>
                </c:pt>
                <c:pt idx="30">
                  <c:v>0.7</c:v>
                </c:pt>
                <c:pt idx="31">
                  <c:v>0.71</c:v>
                </c:pt>
                <c:pt idx="32">
                  <c:v>0.71</c:v>
                </c:pt>
                <c:pt idx="33">
                  <c:v>0.72</c:v>
                </c:pt>
                <c:pt idx="34">
                  <c:v>0.72</c:v>
                </c:pt>
                <c:pt idx="35">
                  <c:v>0.73</c:v>
                </c:pt>
                <c:pt idx="36">
                  <c:v>0.74</c:v>
                </c:pt>
                <c:pt idx="37">
                  <c:v>0.74</c:v>
                </c:pt>
                <c:pt idx="38">
                  <c:v>0.75</c:v>
                </c:pt>
                <c:pt idx="39">
                  <c:v>0.65</c:v>
                </c:pt>
                <c:pt idx="40">
                  <c:v>0.65</c:v>
                </c:pt>
                <c:pt idx="41">
                  <c:v>0.66</c:v>
                </c:pt>
                <c:pt idx="42">
                  <c:v>0.66</c:v>
                </c:pt>
                <c:pt idx="43">
                  <c:v>0.67</c:v>
                </c:pt>
                <c:pt idx="44">
                  <c:v>0.67</c:v>
                </c:pt>
                <c:pt idx="45">
                  <c:v>0.67</c:v>
                </c:pt>
                <c:pt idx="46">
                  <c:v>0.68</c:v>
                </c:pt>
                <c:pt idx="47">
                  <c:v>0.68</c:v>
                </c:pt>
                <c:pt idx="48">
                  <c:v>0.69</c:v>
                </c:pt>
                <c:pt idx="49">
                  <c:v>0.69</c:v>
                </c:pt>
                <c:pt idx="50">
                  <c:v>0.69</c:v>
                </c:pt>
                <c:pt idx="51">
                  <c:v>0.7</c:v>
                </c:pt>
                <c:pt idx="52">
                  <c:v>0.7</c:v>
                </c:pt>
                <c:pt idx="53">
                  <c:v>0.7</c:v>
                </c:pt>
                <c:pt idx="54">
                  <c:v>0.7</c:v>
                </c:pt>
                <c:pt idx="55">
                  <c:v>0.71</c:v>
                </c:pt>
                <c:pt idx="56">
                  <c:v>0.71</c:v>
                </c:pt>
                <c:pt idx="57">
                  <c:v>0.71</c:v>
                </c:pt>
                <c:pt idx="58">
                  <c:v>0.72</c:v>
                </c:pt>
                <c:pt idx="59">
                  <c:v>0.72</c:v>
                </c:pt>
                <c:pt idx="60">
                  <c:v>0.72</c:v>
                </c:pt>
                <c:pt idx="61">
                  <c:v>0.72</c:v>
                </c:pt>
                <c:pt idx="62">
                  <c:v>0.72</c:v>
                </c:pt>
                <c:pt idx="63">
                  <c:v>0.73</c:v>
                </c:pt>
                <c:pt idx="64">
                  <c:v>0.73</c:v>
                </c:pt>
                <c:pt idx="65">
                  <c:v>0.73</c:v>
                </c:pt>
                <c:pt idx="66">
                  <c:v>0.73</c:v>
                </c:pt>
                <c:pt idx="67">
                  <c:v>0.73</c:v>
                </c:pt>
                <c:pt idx="68">
                  <c:v>0.74</c:v>
                </c:pt>
                <c:pt idx="69">
                  <c:v>0.74</c:v>
                </c:pt>
                <c:pt idx="70">
                  <c:v>0.74</c:v>
                </c:pt>
                <c:pt idx="71">
                  <c:v>0.74</c:v>
                </c:pt>
                <c:pt idx="72">
                  <c:v>0.74</c:v>
                </c:pt>
                <c:pt idx="73">
                  <c:v>0.74</c:v>
                </c:pt>
                <c:pt idx="74">
                  <c:v>0.75</c:v>
                </c:pt>
                <c:pt idx="75">
                  <c:v>0.65</c:v>
                </c:pt>
                <c:pt idx="76">
                  <c:v>0.65</c:v>
                </c:pt>
                <c:pt idx="77">
                  <c:v>0.65</c:v>
                </c:pt>
                <c:pt idx="78">
                  <c:v>0.65</c:v>
                </c:pt>
                <c:pt idx="79">
                  <c:v>0.65</c:v>
                </c:pt>
                <c:pt idx="80">
                  <c:v>0.65</c:v>
                </c:pt>
                <c:pt idx="81">
                  <c:v>0.65</c:v>
                </c:pt>
                <c:pt idx="82">
                  <c:v>0.66</c:v>
                </c:pt>
                <c:pt idx="83">
                  <c:v>0.66</c:v>
                </c:pt>
                <c:pt idx="84">
                  <c:v>0.66</c:v>
                </c:pt>
                <c:pt idx="85">
                  <c:v>0.66</c:v>
                </c:pt>
                <c:pt idx="86">
                  <c:v>0.66</c:v>
                </c:pt>
                <c:pt idx="87">
                  <c:v>0.66</c:v>
                </c:pt>
                <c:pt idx="88">
                  <c:v>0.66</c:v>
                </c:pt>
                <c:pt idx="89">
                  <c:v>0.66</c:v>
                </c:pt>
                <c:pt idx="90">
                  <c:v>0.66</c:v>
                </c:pt>
                <c:pt idx="91">
                  <c:v>0.67</c:v>
                </c:pt>
                <c:pt idx="92">
                  <c:v>0.67</c:v>
                </c:pt>
                <c:pt idx="93">
                  <c:v>0.67</c:v>
                </c:pt>
                <c:pt idx="94">
                  <c:v>0.67</c:v>
                </c:pt>
                <c:pt idx="95">
                  <c:v>0.67</c:v>
                </c:pt>
                <c:pt idx="96">
                  <c:v>0.67</c:v>
                </c:pt>
                <c:pt idx="97">
                  <c:v>0.67</c:v>
                </c:pt>
                <c:pt idx="98">
                  <c:v>0.67</c:v>
                </c:pt>
                <c:pt idx="99">
                  <c:v>0.67</c:v>
                </c:pt>
                <c:pt idx="100">
                  <c:v>0.67</c:v>
                </c:pt>
                <c:pt idx="101">
                  <c:v>0.67</c:v>
                </c:pt>
                <c:pt idx="102">
                  <c:v>0.67</c:v>
                </c:pt>
                <c:pt idx="103">
                  <c:v>0.67</c:v>
                </c:pt>
                <c:pt idx="104">
                  <c:v>0.67</c:v>
                </c:pt>
                <c:pt idx="105">
                  <c:v>0.68</c:v>
                </c:pt>
                <c:pt idx="106">
                  <c:v>0.68</c:v>
                </c:pt>
                <c:pt idx="107">
                  <c:v>0.68</c:v>
                </c:pt>
                <c:pt idx="108">
                  <c:v>0.68</c:v>
                </c:pt>
                <c:pt idx="109">
                  <c:v>0.68</c:v>
                </c:pt>
                <c:pt idx="110">
                  <c:v>0.68</c:v>
                </c:pt>
              </c:numCache>
            </c:numRef>
          </c:yVal>
          <c:smooth val="0"/>
          <c:extLst>
            <c:ext xmlns:c16="http://schemas.microsoft.com/office/drawing/2014/chart" uri="{C3380CC4-5D6E-409C-BE32-E72D297353CC}">
              <c16:uniqueId val="{00000000-AF18-4144-92FB-F6375CBDCD58}"/>
            </c:ext>
          </c:extLst>
        </c:ser>
        <c:ser>
          <c:idx val="1"/>
          <c:order val="1"/>
          <c:tx>
            <c:v>手動</c:v>
          </c:tx>
          <c:marker>
            <c:symbol val="none"/>
          </c:marker>
          <c:xVal>
            <c:numRef>
              <c:f>'b（手動）計算用'!$D$5:$D$115</c:f>
              <c:numCache>
                <c:formatCode>General</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'b（手動）計算用'!$K$5:$K$115</c:f>
              <c:numCache>
                <c:formatCode>0.00_ </c:formatCode>
                <c:ptCount val="111"/>
                <c:pt idx="0">
                  <c:v>0.53</c:v>
                </c:pt>
                <c:pt idx="1">
                  <c:v>0.56999999999999995</c:v>
                </c:pt>
                <c:pt idx="2">
                  <c:v>0.61</c:v>
                </c:pt>
                <c:pt idx="3">
                  <c:v>0.64</c:v>
                </c:pt>
                <c:pt idx="4">
                  <c:v>0.67</c:v>
                </c:pt>
                <c:pt idx="5">
                  <c:v>0.7</c:v>
                </c:pt>
                <c:pt idx="6">
                  <c:v>0.72</c:v>
                </c:pt>
                <c:pt idx="7">
                  <c:v>0.74</c:v>
                </c:pt>
                <c:pt idx="8">
                  <c:v>0.76</c:v>
                </c:pt>
                <c:pt idx="9">
                  <c:v>0.78</c:v>
                </c:pt>
                <c:pt idx="10">
                  <c:v>0.79</c:v>
                </c:pt>
                <c:pt idx="11">
                  <c:v>0.81</c:v>
                </c:pt>
                <c:pt idx="12">
                  <c:v>0.82</c:v>
                </c:pt>
                <c:pt idx="13">
                  <c:v>0.84</c:v>
                </c:pt>
                <c:pt idx="14">
                  <c:v>0.85</c:v>
                </c:pt>
                <c:pt idx="15">
                  <c:v>0.86</c:v>
                </c:pt>
                <c:pt idx="16">
                  <c:v>0.87</c:v>
                </c:pt>
                <c:pt idx="17">
                  <c:v>0.88</c:v>
                </c:pt>
                <c:pt idx="18">
                  <c:v>0.89</c:v>
                </c:pt>
                <c:pt idx="19">
                  <c:v>0.9</c:v>
                </c:pt>
                <c:pt idx="20">
                  <c:v>0.9</c:v>
                </c:pt>
                <c:pt idx="21">
                  <c:v>0.8</c:v>
                </c:pt>
                <c:pt idx="22">
                  <c:v>0.81</c:v>
                </c:pt>
                <c:pt idx="23">
                  <c:v>0.82</c:v>
                </c:pt>
                <c:pt idx="24">
                  <c:v>0.83</c:v>
                </c:pt>
                <c:pt idx="25">
                  <c:v>0.84</c:v>
                </c:pt>
                <c:pt idx="26">
                  <c:v>0.85</c:v>
                </c:pt>
                <c:pt idx="27">
                  <c:v>0.85</c:v>
                </c:pt>
                <c:pt idx="28">
                  <c:v>0.86</c:v>
                </c:pt>
                <c:pt idx="29">
                  <c:v>0.87</c:v>
                </c:pt>
                <c:pt idx="30">
                  <c:v>0.87</c:v>
                </c:pt>
                <c:pt idx="31">
                  <c:v>0.81</c:v>
                </c:pt>
                <c:pt idx="32">
                  <c:v>0.82</c:v>
                </c:pt>
                <c:pt idx="33">
                  <c:v>0.82</c:v>
                </c:pt>
                <c:pt idx="34">
                  <c:v>0.83</c:v>
                </c:pt>
                <c:pt idx="35">
                  <c:v>0.83</c:v>
                </c:pt>
                <c:pt idx="36">
                  <c:v>0.84</c:v>
                </c:pt>
                <c:pt idx="37">
                  <c:v>0.84</c:v>
                </c:pt>
                <c:pt idx="38">
                  <c:v>0.85</c:v>
                </c:pt>
                <c:pt idx="39">
                  <c:v>0.85</c:v>
                </c:pt>
                <c:pt idx="40">
                  <c:v>0.86</c:v>
                </c:pt>
                <c:pt idx="41">
                  <c:v>0.86</c:v>
                </c:pt>
                <c:pt idx="42">
                  <c:v>0.87</c:v>
                </c:pt>
                <c:pt idx="43">
                  <c:v>0.87</c:v>
                </c:pt>
                <c:pt idx="44">
                  <c:v>0.87</c:v>
                </c:pt>
                <c:pt idx="45">
                  <c:v>0.88</c:v>
                </c:pt>
                <c:pt idx="46">
                  <c:v>0.81</c:v>
                </c:pt>
                <c:pt idx="47">
                  <c:v>0.81</c:v>
                </c:pt>
                <c:pt idx="48">
                  <c:v>0.82</c:v>
                </c:pt>
                <c:pt idx="49">
                  <c:v>0.82</c:v>
                </c:pt>
                <c:pt idx="50">
                  <c:v>0.82</c:v>
                </c:pt>
                <c:pt idx="51">
                  <c:v>0.83</c:v>
                </c:pt>
                <c:pt idx="52">
                  <c:v>0.83</c:v>
                </c:pt>
                <c:pt idx="53">
                  <c:v>0.83</c:v>
                </c:pt>
                <c:pt idx="54">
                  <c:v>0.84</c:v>
                </c:pt>
                <c:pt idx="55">
                  <c:v>0.84</c:v>
                </c:pt>
                <c:pt idx="56">
                  <c:v>0.84</c:v>
                </c:pt>
                <c:pt idx="57">
                  <c:v>0.84</c:v>
                </c:pt>
                <c:pt idx="58">
                  <c:v>0.85</c:v>
                </c:pt>
                <c:pt idx="59">
                  <c:v>0.85</c:v>
                </c:pt>
                <c:pt idx="60">
                  <c:v>0.85</c:v>
                </c:pt>
                <c:pt idx="61">
                  <c:v>0.85</c:v>
                </c:pt>
                <c:pt idx="62">
                  <c:v>0.85</c:v>
                </c:pt>
                <c:pt idx="63">
                  <c:v>0.86</c:v>
                </c:pt>
                <c:pt idx="64">
                  <c:v>0.86</c:v>
                </c:pt>
                <c:pt idx="65">
                  <c:v>0.86</c:v>
                </c:pt>
                <c:pt idx="66">
                  <c:v>0.86</c:v>
                </c:pt>
                <c:pt idx="67">
                  <c:v>0.86</c:v>
                </c:pt>
                <c:pt idx="68">
                  <c:v>0.87</c:v>
                </c:pt>
                <c:pt idx="69">
                  <c:v>0.87</c:v>
                </c:pt>
                <c:pt idx="70">
                  <c:v>0.87</c:v>
                </c:pt>
                <c:pt idx="71">
                  <c:v>0.87</c:v>
                </c:pt>
                <c:pt idx="72">
                  <c:v>0.87</c:v>
                </c:pt>
                <c:pt idx="73">
                  <c:v>0.87</c:v>
                </c:pt>
                <c:pt idx="74">
                  <c:v>0.87</c:v>
                </c:pt>
                <c:pt idx="75">
                  <c:v>0.88</c:v>
                </c:pt>
                <c:pt idx="76">
                  <c:v>0.88</c:v>
                </c:pt>
                <c:pt idx="77">
                  <c:v>0.88</c:v>
                </c:pt>
                <c:pt idx="78">
                  <c:v>0.88</c:v>
                </c:pt>
                <c:pt idx="79">
                  <c:v>0.88</c:v>
                </c:pt>
                <c:pt idx="80">
                  <c:v>0.88</c:v>
                </c:pt>
                <c:pt idx="81">
                  <c:v>0.88</c:v>
                </c:pt>
                <c:pt idx="82">
                  <c:v>0.88</c:v>
                </c:pt>
                <c:pt idx="83">
                  <c:v>0.89</c:v>
                </c:pt>
                <c:pt idx="84">
                  <c:v>0.89</c:v>
                </c:pt>
                <c:pt idx="85">
                  <c:v>0.89</c:v>
                </c:pt>
                <c:pt idx="86">
                  <c:v>0.89</c:v>
                </c:pt>
                <c:pt idx="87">
                  <c:v>0.89</c:v>
                </c:pt>
                <c:pt idx="88">
                  <c:v>0.89</c:v>
                </c:pt>
                <c:pt idx="89">
                  <c:v>0.89</c:v>
                </c:pt>
                <c:pt idx="90">
                  <c:v>0.89</c:v>
                </c:pt>
                <c:pt idx="91">
                  <c:v>0.89</c:v>
                </c:pt>
                <c:pt idx="92">
                  <c:v>0.89</c:v>
                </c:pt>
                <c:pt idx="93">
                  <c:v>0.89</c:v>
                </c:pt>
                <c:pt idx="94">
                  <c:v>0.89</c:v>
                </c:pt>
                <c:pt idx="95">
                  <c:v>0.9</c:v>
                </c:pt>
                <c:pt idx="96">
                  <c:v>0.9</c:v>
                </c:pt>
                <c:pt idx="97">
                  <c:v>0.9</c:v>
                </c:pt>
                <c:pt idx="98">
                  <c:v>0.9</c:v>
                </c:pt>
                <c:pt idx="99">
                  <c:v>0.9</c:v>
                </c:pt>
                <c:pt idx="100">
                  <c:v>0.9</c:v>
                </c:pt>
                <c:pt idx="101">
                  <c:v>0.9</c:v>
                </c:pt>
                <c:pt idx="102">
                  <c:v>0.9</c:v>
                </c:pt>
                <c:pt idx="103">
                  <c:v>0.9</c:v>
                </c:pt>
                <c:pt idx="104">
                  <c:v>0.9</c:v>
                </c:pt>
                <c:pt idx="105">
                  <c:v>0.9</c:v>
                </c:pt>
                <c:pt idx="106">
                  <c:v>0.9</c:v>
                </c:pt>
                <c:pt idx="107">
                  <c:v>0.9</c:v>
                </c:pt>
                <c:pt idx="108">
                  <c:v>0.9</c:v>
                </c:pt>
                <c:pt idx="109">
                  <c:v>0.9</c:v>
                </c:pt>
                <c:pt idx="110">
                  <c:v>0.9</c:v>
                </c:pt>
              </c:numCache>
            </c:numRef>
          </c:yVal>
          <c:smooth val="0"/>
          <c:extLst>
            <c:ext xmlns:c16="http://schemas.microsoft.com/office/drawing/2014/chart" uri="{C3380CC4-5D6E-409C-BE32-E72D297353CC}">
              <c16:uniqueId val="{00000001-AF18-4144-92FB-F6375CBDCD58}"/>
            </c:ext>
          </c:extLst>
        </c:ser>
        <c:dLbls>
          <c:showLegendKey val="0"/>
          <c:showVal val="0"/>
          <c:showCatName val="0"/>
          <c:showSerName val="0"/>
          <c:showPercent val="0"/>
          <c:showBubbleSize val="0"/>
        </c:dLbls>
        <c:axId val="914885888"/>
        <c:axId val="914886872"/>
      </c:scatterChart>
      <c:valAx>
        <c:axId val="914885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ysClr val="windowText" lastClr="000000"/>
            </a:solidFill>
            <a:round/>
          </a:ln>
          <a:effectLst/>
        </c:spPr>
        <c:txPr>
          <a:bodyPr rot="-60000000" vert="horz"/>
          <a:lstStyle/>
          <a:p>
            <a:pPr>
              <a:defRPr/>
            </a:pPr>
            <a:endParaRPr lang="ja-JP"/>
          </a:p>
        </c:txPr>
        <c:crossAx val="914886872"/>
        <c:crosses val="autoZero"/>
        <c:crossBetween val="midCat"/>
        <c:majorUnit val="10"/>
      </c:valAx>
      <c:valAx>
        <c:axId val="91488687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_ " sourceLinked="0"/>
        <c:majorTickMark val="none"/>
        <c:minorTickMark val="none"/>
        <c:tickLblPos val="nextTo"/>
        <c:spPr>
          <a:noFill/>
          <a:ln w="9525" cap="flat" cmpd="sng" algn="ctr">
            <a:solidFill>
              <a:sysClr val="windowText" lastClr="000000"/>
            </a:solidFill>
            <a:round/>
          </a:ln>
          <a:effectLst/>
        </c:spPr>
        <c:txPr>
          <a:bodyPr rot="-60000000" vert="horz"/>
          <a:lstStyle/>
          <a:p>
            <a:pPr>
              <a:defRPr/>
            </a:pPr>
            <a:endParaRPr lang="ja-JP"/>
          </a:p>
        </c:txPr>
        <c:crossAx val="914885888"/>
        <c:crosses val="autoZero"/>
        <c:crossBetween val="midCat"/>
        <c:majorUnit val="0.1"/>
      </c:valAx>
      <c:spPr>
        <a:ln>
          <a:solidFill>
            <a:schemeClr val="tx1"/>
          </a:solidFill>
        </a:ln>
      </c:spPr>
    </c:plotArea>
    <c:legend>
      <c:legendPos val="l"/>
      <c:layout>
        <c:manualLayout>
          <c:xMode val="edge"/>
          <c:yMode val="edge"/>
          <c:x val="0.15086091806998975"/>
          <c:y val="0.6185250224076585"/>
          <c:w val="0.22384428223844283"/>
          <c:h val="0.18795784855251302"/>
        </c:manualLayout>
      </c:layout>
      <c:overlay val="0"/>
      <c:spPr>
        <a:solidFill>
          <a:schemeClr val="bg1"/>
        </a:solidFill>
        <a:ln>
          <a:solidFill>
            <a:sysClr val="windowText" lastClr="000000"/>
          </a:solidFill>
        </a:ln>
      </c:spPr>
    </c:legend>
    <c:plotVisOnly val="1"/>
    <c:dispBlanksAs val="gap"/>
    <c:showDLblsOverMax val="0"/>
  </c:chart>
  <c:spPr>
    <a:ln>
      <a:noFill/>
    </a:ln>
  </c:spPr>
  <c:txPr>
    <a:bodyPr/>
    <a:lstStyle/>
    <a:p>
      <a:pPr>
        <a:defRPr sz="80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ja-JP"/>
              <a:t>樹高</a:t>
            </a:r>
            <a:r>
              <a:rPr lang="ja-JP" altLang="en-US"/>
              <a:t>の推移</a:t>
            </a:r>
            <a:endParaRPr lang="en-US"/>
          </a:p>
        </c:rich>
      </c:tx>
      <c:layout>
        <c:manualLayout>
          <c:xMode val="edge"/>
          <c:yMode val="edge"/>
          <c:x val="0.44089497009595113"/>
          <c:y val="1.8518518518518517E-2"/>
        </c:manualLayout>
      </c:layout>
      <c:overlay val="0"/>
      <c:spPr>
        <a:noFill/>
        <a:ln>
          <a:noFill/>
        </a:ln>
        <a:effectLst/>
      </c:spPr>
    </c:title>
    <c:autoTitleDeleted val="0"/>
    <c:plotArea>
      <c:layout>
        <c:manualLayout>
          <c:layoutTarget val="inner"/>
          <c:xMode val="edge"/>
          <c:yMode val="edge"/>
          <c:x val="0.14356697216126674"/>
          <c:y val="0.11967290520845698"/>
          <c:w val="0.8036132696527688"/>
          <c:h val="0.69676047438514632"/>
        </c:manualLayout>
      </c:layout>
      <c:scatterChart>
        <c:scatterStyle val="lineMarker"/>
        <c:varyColors val="0"/>
        <c:ser>
          <c:idx val="0"/>
          <c:order val="0"/>
          <c:tx>
            <c:v>樹高</c:v>
          </c:tx>
          <c:spPr>
            <a:ln>
              <a:solidFill>
                <a:schemeClr val="accent2"/>
              </a:solidFill>
            </a:ln>
          </c:spPr>
          <c:marker>
            <c:symbol val="none"/>
          </c:marker>
          <c:xVal>
            <c:numRef>
              <c:f>'a（自動）計算用'!$D$5:$D$115</c:f>
              <c:numCache>
                <c:formatCode>General</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'a（自動）計算用'!$G$5:$G$115</c:f>
              <c:numCache>
                <c:formatCode>0.0_ </c:formatCode>
                <c:ptCount val="111"/>
                <c:pt idx="0">
                  <c:v>7.005377668918638</c:v>
                </c:pt>
                <c:pt idx="1">
                  <c:v>7.6866187767008665</c:v>
                </c:pt>
                <c:pt idx="2">
                  <c:v>8.3560214438217386</c:v>
                </c:pt>
                <c:pt idx="3">
                  <c:v>9.0132564321920068</c:v>
                </c:pt>
                <c:pt idx="4">
                  <c:v>9.6580943635452208</c:v>
                </c:pt>
                <c:pt idx="5">
                  <c:v>10.290382189294702</c:v>
                </c:pt>
                <c:pt idx="6">
                  <c:v>10.910026199109787</c:v>
                </c:pt>
                <c:pt idx="7">
                  <c:v>11.516979531457144</c:v>
                </c:pt>
                <c:pt idx="8">
                  <c:v>12.111232869455735</c:v>
                </c:pt>
                <c:pt idx="9">
                  <c:v>12.692807439777415</c:v>
                </c:pt>
                <c:pt idx="10">
                  <c:v>13.261749704127018</c:v>
                </c:pt>
                <c:pt idx="11">
                  <c:v>13.818127308626075</c:v>
                </c:pt>
                <c:pt idx="12">
                  <c:v>14.362025973710765</c:v>
                </c:pt>
                <c:pt idx="13">
                  <c:v>14.893547087821741</c:v>
                </c:pt>
                <c:pt idx="14">
                  <c:v>15.412805825357026</c:v>
                </c:pt>
                <c:pt idx="15">
                  <c:v>15.919929651162615</c:v>
                </c:pt>
                <c:pt idx="16">
                  <c:v>16.415057105306442</c:v>
                </c:pt>
                <c:pt idx="17">
                  <c:v>16.898336786226629</c:v>
                </c:pt>
                <c:pt idx="18">
                  <c:v>17.369926469612402</c:v>
                </c:pt>
                <c:pt idx="19">
                  <c:v>17.829992315883583</c:v>
                </c:pt>
                <c:pt idx="20">
                  <c:v>18.278708131736447</c:v>
                </c:pt>
                <c:pt idx="21">
                  <c:v>18.716254661483859</c:v>
                </c:pt>
                <c:pt idx="22">
                  <c:v>19.142818892220774</c:v>
                </c:pt>
                <c:pt idx="23">
                  <c:v>19.558593363470184</c:v>
                </c:pt>
                <c:pt idx="24">
                  <c:v>19.963775477128916</c:v>
                </c:pt>
                <c:pt idx="25">
                  <c:v>20.358566807421841</c:v>
                </c:pt>
                <c:pt idx="26">
                  <c:v>20.743172413359066</c:v>
                </c:pt>
                <c:pt idx="27">
                  <c:v>21.117800158034136</c:v>
                </c:pt>
                <c:pt idx="28">
                  <c:v>21.482660040158859</c:v>
                </c:pt>
                <c:pt idx="29">
                  <c:v>21.837963543650535</c:v>
                </c:pt>
                <c:pt idx="30">
                  <c:v>22.183923011010634</c:v>
                </c:pt>
                <c:pt idx="31">
                  <c:v>22.520751045788124</c:v>
                </c:pt>
                <c:pt idx="32">
                  <c:v>22.848659948719757</c:v>
                </c:pt>
                <c:pt idx="33">
                  <c:v>23.167861191282384</c:v>
                </c:pt>
                <c:pt idx="34">
                  <c:v>23.478564929459516</c:v>
                </c:pt>
                <c:pt idx="35">
                  <c:v>23.780979559582203</c:v>
                </c:pt>
                <c:pt idx="36">
                  <c:v>24.075311317201503</c:v>
                </c:pt>
                <c:pt idx="37">
                  <c:v>24.361763919122062</c:v>
                </c:pt>
                <c:pt idx="38">
                  <c:v>24.64053824799684</c:v>
                </c:pt>
                <c:pt idx="39">
                  <c:v>24.911832078263824</c:v>
                </c:pt>
                <c:pt idx="40">
                  <c:v>25.175839841701567</c:v>
                </c:pt>
                <c:pt idx="41">
                  <c:v>25.432752430488847</c:v>
                </c:pt>
                <c:pt idx="42">
                  <c:v>25.682757035368347</c:v>
                </c:pt>
                <c:pt idx="43">
                  <c:v>25.926037016324717</c:v>
                </c:pt>
                <c:pt idx="44">
                  <c:v>26.162771803082592</c:v>
                </c:pt>
                <c:pt idx="45">
                  <c:v>26.393136822696903</c:v>
                </c:pt>
                <c:pt idx="46">
                  <c:v>26.617303451534312</c:v>
                </c:pt>
                <c:pt idx="47">
                  <c:v>26.835438989018716</c:v>
                </c:pt>
                <c:pt idx="48">
                  <c:v>27.047706650624068</c:v>
                </c:pt>
                <c:pt idx="49">
                  <c:v>27.25426557773557</c:v>
                </c:pt>
                <c:pt idx="50">
                  <c:v>27.455270862155562</c:v>
                </c:pt>
                <c:pt idx="51">
                  <c:v>27.650873583197519</c:v>
                </c:pt>
                <c:pt idx="52">
                  <c:v>27.841220855483183</c:v>
                </c:pt>
                <c:pt idx="53">
                  <c:v>28.026455885730172</c:v>
                </c:pt>
                <c:pt idx="54">
                  <c:v>28.206718036985855</c:v>
                </c:pt>
                <c:pt idx="55">
                  <c:v>28.382142898926077</c:v>
                </c:pt>
                <c:pt idx="56">
                  <c:v>28.552862362990862</c:v>
                </c:pt>
                <c:pt idx="57">
                  <c:v>28.719004701274081</c:v>
                </c:pt>
                <c:pt idx="58">
                  <c:v>28.880694648217556</c:v>
                </c:pt>
                <c:pt idx="59">
                  <c:v>29.038053484283193</c:v>
                </c:pt>
                <c:pt idx="60">
                  <c:v>29.191199120888513</c:v>
                </c:pt>
                <c:pt idx="61">
                  <c:v>29.340246185992296</c:v>
                </c:pt>
                <c:pt idx="62">
                  <c:v>29.485306109807635</c:v>
                </c:pt>
                <c:pt idx="63">
                  <c:v>29.62648721020097</c:v>
                </c:pt>
                <c:pt idx="64">
                  <c:v>29.763894777407348</c:v>
                </c:pt>
                <c:pt idx="65">
                  <c:v>29.897631157755349</c:v>
                </c:pt>
                <c:pt idx="66">
                  <c:v>30.027795836151071</c:v>
                </c:pt>
                <c:pt idx="67">
                  <c:v>30.154485517118435</c:v>
                </c:pt>
                <c:pt idx="68">
                  <c:v>30.277794204235548</c:v>
                </c:pt>
                <c:pt idx="69">
                  <c:v>30.397813277842882</c:v>
                </c:pt>
                <c:pt idx="70">
                  <c:v>30.514631570930302</c:v>
                </c:pt>
                <c:pt idx="71">
                  <c:v>30.628335443136372</c:v>
                </c:pt>
                <c:pt idx="72">
                  <c:v>30.739008852816088</c:v>
                </c:pt>
                <c:pt idx="73">
                  <c:v>30.846733427152206</c:v>
                </c:pt>
                <c:pt idx="74">
                  <c:v>30.951588530301056</c:v>
                </c:pt>
                <c:pt idx="75">
                  <c:v>31.053651329577239</c:v>
                </c:pt>
                <c:pt idx="76">
                  <c:v>31.152996859692191</c:v>
                </c:pt>
                <c:pt idx="77">
                  <c:v>31.249698085070811</c:v>
                </c:pt>
                <c:pt idx="78">
                  <c:v>31.34382596027713</c:v>
                </c:pt>
                <c:pt idx="79">
                  <c:v>31.435449488585853</c:v>
                </c:pt>
                <c:pt idx="80">
                  <c:v>31.52463577874099</c:v>
                </c:pt>
                <c:pt idx="81">
                  <c:v>31.611450099945927</c:v>
                </c:pt>
                <c:pt idx="82">
                  <c:v>31.695955935131838</c:v>
                </c:pt>
                <c:pt idx="83">
                  <c:v>31.778215032552865</c:v>
                </c:pt>
                <c:pt idx="84">
                  <c:v>31.858287455757491</c:v>
                </c:pt>
                <c:pt idx="85">
                  <c:v>31.936231631986093</c:v>
                </c:pt>
                <c:pt idx="86">
                  <c:v>32.012104399044432</c:v>
                </c:pt>
                <c:pt idx="87">
                  <c:v>32.085961050702814</c:v>
                </c:pt>
                <c:pt idx="88">
                  <c:v>32.157855380669837</c:v>
                </c:pt>
                <c:pt idx="89">
                  <c:v>32.227839725188701</c:v>
                </c:pt>
                <c:pt idx="90">
                  <c:v>32.295965004303454</c:v>
                </c:pt>
                <c:pt idx="91">
                  <c:v>32.362280761840779</c:v>
                </c:pt>
                <c:pt idx="92">
                  <c:v>32.426835204152212</c:v>
                </c:pt>
                <c:pt idx="93">
                  <c:v>32.489675237659988</c:v>
                </c:pt>
                <c:pt idx="94">
                  <c:v>32.550846505248529</c:v>
                </c:pt>
                <c:pt idx="95">
                  <c:v>32.610393421542035</c:v>
                </c:pt>
                <c:pt idx="96">
                  <c:v>32.668359207107322</c:v>
                </c:pt>
                <c:pt idx="97">
                  <c:v>32.724785921619691</c:v>
                </c:pt>
                <c:pt idx="98">
                  <c:v>32.779714496027857</c:v>
                </c:pt>
                <c:pt idx="99">
                  <c:v>32.833184763753202</c:v>
                </c:pt>
                <c:pt idx="100">
                  <c:v>32.885235490956617</c:v>
                </c:pt>
                <c:pt idx="101">
                  <c:v>32.935904405905355</c:v>
                </c:pt>
                <c:pt idx="102">
                  <c:v>32.985228227470728</c:v>
                </c:pt>
                <c:pt idx="103">
                  <c:v>33.033242692786509</c:v>
                </c:pt>
                <c:pt idx="104">
                  <c:v>33.079982584096534</c:v>
                </c:pt>
                <c:pt idx="105">
                  <c:v>33.1254817548188</c:v>
                </c:pt>
                <c:pt idx="106">
                  <c:v>33.169773154852507</c:v>
                </c:pt>
                <c:pt idx="107">
                  <c:v>33.212888855153139</c:v>
                </c:pt>
                <c:pt idx="108">
                  <c:v>33.254860071599857</c:v>
                </c:pt>
                <c:pt idx="109">
                  <c:v>33.295717188178457</c:v>
                </c:pt>
                <c:pt idx="110">
                  <c:v>33.335489779502211</c:v>
                </c:pt>
              </c:numCache>
            </c:numRef>
          </c:yVal>
          <c:smooth val="0"/>
          <c:extLst>
            <c:ext xmlns:c16="http://schemas.microsoft.com/office/drawing/2014/chart" uri="{C3380CC4-5D6E-409C-BE32-E72D297353CC}">
              <c16:uniqueId val="{00000000-4A46-42F1-BFDA-EA0D5E00E42F}"/>
            </c:ext>
          </c:extLst>
        </c:ser>
        <c:ser>
          <c:idx val="1"/>
          <c:order val="1"/>
          <c:tx>
            <c:v>現況</c:v>
          </c:tx>
          <c:spPr>
            <a:ln>
              <a:noFill/>
            </a:ln>
          </c:spPr>
          <c:marker>
            <c:symbol val="circle"/>
            <c:size val="5"/>
            <c:spPr>
              <a:solidFill>
                <a:srgbClr val="FFC000"/>
              </a:solidFill>
              <a:ln>
                <a:solidFill>
                  <a:schemeClr val="accent2"/>
                </a:solidFill>
              </a:ln>
            </c:spPr>
          </c:marker>
          <c:xVal>
            <c:numRef>
              <c:f>'結果（a 収量比数）'!$B$12</c:f>
              <c:numCache>
                <c:formatCode>General</c:formatCode>
                <c:ptCount val="1"/>
                <c:pt idx="0">
                  <c:v>10</c:v>
                </c:pt>
              </c:numCache>
            </c:numRef>
          </c:xVal>
          <c:yVal>
            <c:numRef>
              <c:f>'結果（a 収量比数）'!$C$12</c:f>
              <c:numCache>
                <c:formatCode>0.0_ </c:formatCode>
                <c:ptCount val="1"/>
                <c:pt idx="0">
                  <c:v>7</c:v>
                </c:pt>
              </c:numCache>
            </c:numRef>
          </c:yVal>
          <c:smooth val="0"/>
          <c:extLst>
            <c:ext xmlns:c16="http://schemas.microsoft.com/office/drawing/2014/chart" uri="{C3380CC4-5D6E-409C-BE32-E72D297353CC}">
              <c16:uniqueId val="{00000002-4A46-42F1-BFDA-EA0D5E00E42F}"/>
            </c:ext>
          </c:extLst>
        </c:ser>
        <c:ser>
          <c:idx val="2"/>
          <c:order val="2"/>
          <c:tx>
            <c:v>伐期</c:v>
          </c:tx>
          <c:spPr>
            <a:ln>
              <a:noFill/>
            </a:ln>
          </c:spPr>
          <c:marker>
            <c:symbol val="circle"/>
            <c:size val="5"/>
            <c:spPr>
              <a:solidFill>
                <a:srgbClr val="C00000"/>
              </a:solidFill>
              <a:ln>
                <a:solidFill>
                  <a:schemeClr val="accent2">
                    <a:lumMod val="50000"/>
                  </a:schemeClr>
                </a:solidFill>
              </a:ln>
            </c:spPr>
          </c:marker>
          <c:xVal>
            <c:numRef>
              <c:f>'結果（a 収量比数）'!$B$42</c:f>
              <c:numCache>
                <c:formatCode>General</c:formatCode>
                <c:ptCount val="1"/>
                <c:pt idx="0">
                  <c:v>120</c:v>
                </c:pt>
              </c:numCache>
            </c:numRef>
          </c:xVal>
          <c:yVal>
            <c:numRef>
              <c:f>'結果（a 収量比数）'!$C$42</c:f>
              <c:numCache>
                <c:formatCode>0.0_ </c:formatCode>
                <c:ptCount val="1"/>
                <c:pt idx="0">
                  <c:v>33.335489779502211</c:v>
                </c:pt>
              </c:numCache>
            </c:numRef>
          </c:yVal>
          <c:smooth val="0"/>
          <c:extLst>
            <c:ext xmlns:c16="http://schemas.microsoft.com/office/drawing/2014/chart" uri="{C3380CC4-5D6E-409C-BE32-E72D297353CC}">
              <c16:uniqueId val="{00000003-4A46-42F1-BFDA-EA0D5E00E42F}"/>
            </c:ext>
          </c:extLst>
        </c:ser>
        <c:dLbls>
          <c:showLegendKey val="0"/>
          <c:showVal val="0"/>
          <c:showCatName val="0"/>
          <c:showSerName val="0"/>
          <c:showPercent val="0"/>
          <c:showBubbleSize val="0"/>
        </c:dLbls>
        <c:axId val="914885888"/>
        <c:axId val="914886872"/>
      </c:scatterChart>
      <c:valAx>
        <c:axId val="914885888"/>
        <c:scaling>
          <c:orientation val="minMax"/>
        </c:scaling>
        <c:delete val="0"/>
        <c:axPos val="b"/>
        <c:majorGridlines>
          <c:spPr>
            <a:ln w="9525" cap="flat" cmpd="sng" algn="ctr">
              <a:solidFill>
                <a:schemeClr val="tx1">
                  <a:lumMod val="15000"/>
                  <a:lumOff val="85000"/>
                </a:schemeClr>
              </a:solidFill>
              <a:round/>
            </a:ln>
            <a:effectLst/>
          </c:spPr>
        </c:majorGridlines>
        <c:title>
          <c:tx>
            <c:rich>
              <a:bodyPr/>
              <a:lstStyle/>
              <a:p>
                <a:pPr>
                  <a:defRPr/>
                </a:pPr>
                <a:r>
                  <a:rPr lang="ja-JP" altLang="en-US"/>
                  <a:t>林齢（年生）</a:t>
                </a:r>
              </a:p>
            </c:rich>
          </c:tx>
          <c:layout/>
          <c:overlay val="0"/>
        </c:title>
        <c:numFmt formatCode="General" sourceLinked="1"/>
        <c:majorTickMark val="none"/>
        <c:minorTickMark val="none"/>
        <c:tickLblPos val="nextTo"/>
        <c:spPr>
          <a:noFill/>
          <a:ln w="9525" cap="flat" cmpd="sng" algn="ctr">
            <a:solidFill>
              <a:sysClr val="windowText" lastClr="000000"/>
            </a:solidFill>
            <a:round/>
          </a:ln>
          <a:effectLst/>
        </c:spPr>
        <c:txPr>
          <a:bodyPr rot="-60000000" vert="horz"/>
          <a:lstStyle/>
          <a:p>
            <a:pPr>
              <a:defRPr/>
            </a:pPr>
            <a:endParaRPr lang="ja-JP"/>
          </a:p>
        </c:txPr>
        <c:crossAx val="914886872"/>
        <c:crosses val="autoZero"/>
        <c:crossBetween val="midCat"/>
        <c:majorUnit val="10"/>
      </c:valAx>
      <c:valAx>
        <c:axId val="914886872"/>
        <c:scaling>
          <c:orientation val="minMax"/>
          <c:max val="50"/>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ja-JP" altLang="en-US"/>
                  <a:t>樹高（</a:t>
                </a:r>
                <a:r>
                  <a:rPr lang="en-US" altLang="ja-JP"/>
                  <a:t>m</a:t>
                </a:r>
                <a:r>
                  <a:rPr lang="ja-JP" altLang="en-US"/>
                  <a:t>）</a:t>
                </a:r>
              </a:p>
            </c:rich>
          </c:tx>
          <c:layout/>
          <c:overlay val="0"/>
        </c:title>
        <c:numFmt formatCode="0_ " sourceLinked="0"/>
        <c:majorTickMark val="none"/>
        <c:minorTickMark val="none"/>
        <c:tickLblPos val="nextTo"/>
        <c:spPr>
          <a:noFill/>
          <a:ln w="9525" cap="flat" cmpd="sng" algn="ctr">
            <a:solidFill>
              <a:sysClr val="windowText" lastClr="000000"/>
            </a:solidFill>
            <a:round/>
          </a:ln>
          <a:effectLst/>
        </c:spPr>
        <c:txPr>
          <a:bodyPr rot="-60000000" vert="horz"/>
          <a:lstStyle/>
          <a:p>
            <a:pPr>
              <a:defRPr/>
            </a:pPr>
            <a:endParaRPr lang="ja-JP"/>
          </a:p>
        </c:txPr>
        <c:crossAx val="914885888"/>
        <c:crosses val="autoZero"/>
        <c:crossBetween val="midCat"/>
        <c:majorUnit val="10"/>
      </c:valAx>
      <c:spPr>
        <a:ln>
          <a:solidFill>
            <a:schemeClr val="tx1"/>
          </a:solidFill>
        </a:ln>
      </c:spPr>
    </c:plotArea>
    <c:legend>
      <c:legendPos val="r"/>
      <c:legendEntry>
        <c:idx val="1"/>
        <c:delete val="1"/>
      </c:legendEntry>
      <c:legendEntry>
        <c:idx val="2"/>
        <c:delete val="1"/>
      </c:legendEntry>
      <c:layout>
        <c:manualLayout>
          <c:xMode val="edge"/>
          <c:yMode val="edge"/>
          <c:x val="0.19562841530054645"/>
          <c:y val="0.17304947992612035"/>
          <c:w val="0.253551912568306"/>
          <c:h val="9.6711869349664623E-2"/>
        </c:manualLayout>
      </c:layout>
      <c:overlay val="0"/>
      <c:spPr>
        <a:solidFill>
          <a:schemeClr val="bg1"/>
        </a:solidFill>
        <a:ln>
          <a:solidFill>
            <a:sysClr val="windowText" lastClr="000000"/>
          </a:solidFill>
        </a:ln>
      </c:spPr>
    </c:legend>
    <c:plotVisOnly val="1"/>
    <c:dispBlanksAs val="gap"/>
    <c:showDLblsOverMax val="0"/>
  </c:chart>
  <c:spPr>
    <a:ln>
      <a:noFill/>
    </a:ln>
  </c:spPr>
  <c:txPr>
    <a:bodyPr/>
    <a:lstStyle/>
    <a:p>
      <a:pPr>
        <a:defRPr sz="800"/>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ja-JP" altLang="en-US"/>
              <a:t>密度の推移</a:t>
            </a:r>
            <a:endParaRPr lang="en-US"/>
          </a:p>
        </c:rich>
      </c:tx>
      <c:layout>
        <c:manualLayout>
          <c:xMode val="edge"/>
          <c:yMode val="edge"/>
          <c:x val="0.44089497009595113"/>
          <c:y val="1.8518518518518517E-2"/>
        </c:manualLayout>
      </c:layout>
      <c:overlay val="0"/>
      <c:spPr>
        <a:noFill/>
        <a:ln>
          <a:noFill/>
        </a:ln>
        <a:effectLst/>
      </c:spPr>
    </c:title>
    <c:autoTitleDeleted val="0"/>
    <c:plotArea>
      <c:layout>
        <c:manualLayout>
          <c:layoutTarget val="inner"/>
          <c:xMode val="edge"/>
          <c:yMode val="edge"/>
          <c:x val="0.18142195947903988"/>
          <c:y val="0.11967290520845698"/>
          <c:w val="0.76575838114872852"/>
          <c:h val="0.69676047438514632"/>
        </c:manualLayout>
      </c:layout>
      <c:scatterChart>
        <c:scatterStyle val="lineMarker"/>
        <c:varyColors val="0"/>
        <c:ser>
          <c:idx val="0"/>
          <c:order val="0"/>
          <c:tx>
            <c:v>ha本数</c:v>
          </c:tx>
          <c:spPr>
            <a:ln>
              <a:solidFill>
                <a:schemeClr val="accent6"/>
              </a:solidFill>
            </a:ln>
          </c:spPr>
          <c:marker>
            <c:symbol val="none"/>
          </c:marker>
          <c:xVal>
            <c:numRef>
              <c:f>'a（自動）計算用'!$D$5:$D$115</c:f>
              <c:numCache>
                <c:formatCode>General</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'a（自動）計算用'!$F$5:$F$115</c:f>
              <c:numCache>
                <c:formatCode>0_ </c:formatCode>
                <c:ptCount val="111"/>
                <c:pt idx="0">
                  <c:v>2400</c:v>
                </c:pt>
                <c:pt idx="1">
                  <c:v>2400</c:v>
                </c:pt>
                <c:pt idx="2">
                  <c:v>2378.6995149385252</c:v>
                </c:pt>
                <c:pt idx="3">
                  <c:v>2359.9216915640836</c:v>
                </c:pt>
                <c:pt idx="4">
                  <c:v>2340.7662406907311</c:v>
                </c:pt>
                <c:pt idx="5">
                  <c:v>2321.3807070057342</c:v>
                </c:pt>
                <c:pt idx="6">
                  <c:v>2301.8907004546645</c:v>
                </c:pt>
                <c:pt idx="7">
                  <c:v>2282.402289098367</c:v>
                </c:pt>
                <c:pt idx="8">
                  <c:v>2263.0043655536742</c:v>
                </c:pt>
                <c:pt idx="9">
                  <c:v>1603.0043655536742</c:v>
                </c:pt>
                <c:pt idx="10">
                  <c:v>1603.0043655536742</c:v>
                </c:pt>
                <c:pt idx="11">
                  <c:v>1603.0043655536742</c:v>
                </c:pt>
                <c:pt idx="12">
                  <c:v>1603.0043655536742</c:v>
                </c:pt>
                <c:pt idx="13">
                  <c:v>1603.0043655536742</c:v>
                </c:pt>
                <c:pt idx="14">
                  <c:v>1603.0043655536742</c:v>
                </c:pt>
                <c:pt idx="15">
                  <c:v>1153.0043655536742</c:v>
                </c:pt>
                <c:pt idx="16">
                  <c:v>1153.0043655536742</c:v>
                </c:pt>
                <c:pt idx="17">
                  <c:v>1153.0043655536742</c:v>
                </c:pt>
                <c:pt idx="18">
                  <c:v>1153.0043655536742</c:v>
                </c:pt>
                <c:pt idx="19">
                  <c:v>1153.0043655536742</c:v>
                </c:pt>
                <c:pt idx="20">
                  <c:v>1153.0043655536742</c:v>
                </c:pt>
                <c:pt idx="21">
                  <c:v>1153.0043655536742</c:v>
                </c:pt>
                <c:pt idx="22">
                  <c:v>1153.0043655536742</c:v>
                </c:pt>
                <c:pt idx="23">
                  <c:v>1153.0043655536742</c:v>
                </c:pt>
                <c:pt idx="24">
                  <c:v>833.00436555367423</c:v>
                </c:pt>
                <c:pt idx="25">
                  <c:v>833.00436555367423</c:v>
                </c:pt>
                <c:pt idx="26">
                  <c:v>833.00436555367423</c:v>
                </c:pt>
                <c:pt idx="27">
                  <c:v>833.00436555367423</c:v>
                </c:pt>
                <c:pt idx="28">
                  <c:v>833.00436555367423</c:v>
                </c:pt>
                <c:pt idx="29">
                  <c:v>833.00436555367423</c:v>
                </c:pt>
                <c:pt idx="30">
                  <c:v>833.00436555367423</c:v>
                </c:pt>
                <c:pt idx="31">
                  <c:v>833.00436555367423</c:v>
                </c:pt>
                <c:pt idx="32">
                  <c:v>833.00436555367423</c:v>
                </c:pt>
                <c:pt idx="33">
                  <c:v>833.00436555367423</c:v>
                </c:pt>
                <c:pt idx="34">
                  <c:v>833.00436555367423</c:v>
                </c:pt>
                <c:pt idx="35">
                  <c:v>833.00436555367423</c:v>
                </c:pt>
                <c:pt idx="36">
                  <c:v>833.00436555367423</c:v>
                </c:pt>
                <c:pt idx="37">
                  <c:v>833.00436555367423</c:v>
                </c:pt>
                <c:pt idx="38">
                  <c:v>833.00436555367423</c:v>
                </c:pt>
                <c:pt idx="39">
                  <c:v>613.00436555367423</c:v>
                </c:pt>
                <c:pt idx="40">
                  <c:v>613.00436555367423</c:v>
                </c:pt>
                <c:pt idx="41">
                  <c:v>613.00436555367423</c:v>
                </c:pt>
                <c:pt idx="42">
                  <c:v>613.00436555367423</c:v>
                </c:pt>
                <c:pt idx="43">
                  <c:v>613.00436555367423</c:v>
                </c:pt>
                <c:pt idx="44">
                  <c:v>613.00436555367423</c:v>
                </c:pt>
                <c:pt idx="45">
                  <c:v>613.00436555367423</c:v>
                </c:pt>
                <c:pt idx="46">
                  <c:v>613.00436555367423</c:v>
                </c:pt>
                <c:pt idx="47">
                  <c:v>613.00436555367423</c:v>
                </c:pt>
                <c:pt idx="48">
                  <c:v>613.00436555367423</c:v>
                </c:pt>
                <c:pt idx="49">
                  <c:v>613.00436555367423</c:v>
                </c:pt>
                <c:pt idx="50">
                  <c:v>613.00436555367423</c:v>
                </c:pt>
                <c:pt idx="51">
                  <c:v>613.00436555367423</c:v>
                </c:pt>
                <c:pt idx="52">
                  <c:v>613.00436555367423</c:v>
                </c:pt>
                <c:pt idx="53">
                  <c:v>613.00436555367423</c:v>
                </c:pt>
                <c:pt idx="54">
                  <c:v>613.00436555367423</c:v>
                </c:pt>
                <c:pt idx="55">
                  <c:v>613.00436555367423</c:v>
                </c:pt>
                <c:pt idx="56">
                  <c:v>613.00436555367423</c:v>
                </c:pt>
                <c:pt idx="57">
                  <c:v>613.00436555367423</c:v>
                </c:pt>
                <c:pt idx="58">
                  <c:v>613.00436555367423</c:v>
                </c:pt>
                <c:pt idx="59">
                  <c:v>613.00436555367423</c:v>
                </c:pt>
                <c:pt idx="60">
                  <c:v>613.00436555367423</c:v>
                </c:pt>
                <c:pt idx="61">
                  <c:v>613.00436555367423</c:v>
                </c:pt>
                <c:pt idx="62">
                  <c:v>613.00436555367423</c:v>
                </c:pt>
                <c:pt idx="63">
                  <c:v>613.00436555367423</c:v>
                </c:pt>
                <c:pt idx="64">
                  <c:v>613.00436555367423</c:v>
                </c:pt>
                <c:pt idx="65">
                  <c:v>613.00436555367423</c:v>
                </c:pt>
                <c:pt idx="66">
                  <c:v>613.00436555367423</c:v>
                </c:pt>
                <c:pt idx="67">
                  <c:v>613.00436555367423</c:v>
                </c:pt>
                <c:pt idx="68">
                  <c:v>613.00436555367423</c:v>
                </c:pt>
                <c:pt idx="69">
                  <c:v>613.00436555367423</c:v>
                </c:pt>
                <c:pt idx="70">
                  <c:v>613.00436555367423</c:v>
                </c:pt>
                <c:pt idx="71">
                  <c:v>613.00436555367423</c:v>
                </c:pt>
                <c:pt idx="72">
                  <c:v>613.00436555367423</c:v>
                </c:pt>
                <c:pt idx="73">
                  <c:v>613.00436555367423</c:v>
                </c:pt>
                <c:pt idx="74">
                  <c:v>613.00436555367423</c:v>
                </c:pt>
                <c:pt idx="75">
                  <c:v>453.00436555367423</c:v>
                </c:pt>
                <c:pt idx="76">
                  <c:v>453.00436555367423</c:v>
                </c:pt>
                <c:pt idx="77">
                  <c:v>453.00436555367423</c:v>
                </c:pt>
                <c:pt idx="78">
                  <c:v>453.00436555367423</c:v>
                </c:pt>
                <c:pt idx="79">
                  <c:v>453.00436555367423</c:v>
                </c:pt>
                <c:pt idx="80">
                  <c:v>453.00436555367423</c:v>
                </c:pt>
                <c:pt idx="81">
                  <c:v>453.00436555367423</c:v>
                </c:pt>
                <c:pt idx="82">
                  <c:v>453.00436555367423</c:v>
                </c:pt>
                <c:pt idx="83">
                  <c:v>453.00436555367423</c:v>
                </c:pt>
                <c:pt idx="84">
                  <c:v>453.00436555367423</c:v>
                </c:pt>
                <c:pt idx="85">
                  <c:v>453.00436555367423</c:v>
                </c:pt>
                <c:pt idx="86">
                  <c:v>453.00436555367423</c:v>
                </c:pt>
                <c:pt idx="87">
                  <c:v>453.00436555367423</c:v>
                </c:pt>
                <c:pt idx="88">
                  <c:v>453.00436555367423</c:v>
                </c:pt>
                <c:pt idx="89">
                  <c:v>453.00436555367423</c:v>
                </c:pt>
                <c:pt idx="90">
                  <c:v>453.00436555367423</c:v>
                </c:pt>
                <c:pt idx="91">
                  <c:v>453.00436555367423</c:v>
                </c:pt>
                <c:pt idx="92">
                  <c:v>453.00436555367423</c:v>
                </c:pt>
                <c:pt idx="93">
                  <c:v>453.00436555367423</c:v>
                </c:pt>
                <c:pt idx="94">
                  <c:v>453.00436555367423</c:v>
                </c:pt>
                <c:pt idx="95">
                  <c:v>453.00436555367423</c:v>
                </c:pt>
                <c:pt idx="96">
                  <c:v>453.00436555367423</c:v>
                </c:pt>
                <c:pt idx="97">
                  <c:v>453.00436555367423</c:v>
                </c:pt>
                <c:pt idx="98">
                  <c:v>453.00436555367423</c:v>
                </c:pt>
                <c:pt idx="99">
                  <c:v>453.00436555367423</c:v>
                </c:pt>
                <c:pt idx="100">
                  <c:v>453.00436555367423</c:v>
                </c:pt>
                <c:pt idx="101">
                  <c:v>453.00436555367423</c:v>
                </c:pt>
                <c:pt idx="102">
                  <c:v>453.00436555367423</c:v>
                </c:pt>
                <c:pt idx="103">
                  <c:v>453.00436555367423</c:v>
                </c:pt>
                <c:pt idx="104">
                  <c:v>453.00436555367423</c:v>
                </c:pt>
                <c:pt idx="105">
                  <c:v>453.00436555367423</c:v>
                </c:pt>
                <c:pt idx="106">
                  <c:v>453.00436555367423</c:v>
                </c:pt>
                <c:pt idx="107">
                  <c:v>453.00436555367423</c:v>
                </c:pt>
                <c:pt idx="108">
                  <c:v>453.00436555367423</c:v>
                </c:pt>
                <c:pt idx="109">
                  <c:v>453.00436555367423</c:v>
                </c:pt>
                <c:pt idx="110">
                  <c:v>453.00436555367423</c:v>
                </c:pt>
              </c:numCache>
            </c:numRef>
          </c:yVal>
          <c:smooth val="0"/>
          <c:extLst>
            <c:ext xmlns:c16="http://schemas.microsoft.com/office/drawing/2014/chart" uri="{C3380CC4-5D6E-409C-BE32-E72D297353CC}">
              <c16:uniqueId val="{00000000-C457-4507-98AE-6E0CC2E29649}"/>
            </c:ext>
          </c:extLst>
        </c:ser>
        <c:ser>
          <c:idx val="1"/>
          <c:order val="1"/>
          <c:tx>
            <c:v>現況</c:v>
          </c:tx>
          <c:spPr>
            <a:ln>
              <a:noFill/>
            </a:ln>
          </c:spPr>
          <c:marker>
            <c:symbol val="circle"/>
            <c:size val="5"/>
            <c:spPr>
              <a:solidFill>
                <a:schemeClr val="accent6">
                  <a:lumMod val="60000"/>
                  <a:lumOff val="40000"/>
                </a:schemeClr>
              </a:solidFill>
              <a:ln>
                <a:solidFill>
                  <a:schemeClr val="accent6"/>
                </a:solidFill>
              </a:ln>
            </c:spPr>
          </c:marker>
          <c:xVal>
            <c:numRef>
              <c:f>'結果（a 収量比数）'!$B$12</c:f>
              <c:numCache>
                <c:formatCode>General</c:formatCode>
                <c:ptCount val="1"/>
                <c:pt idx="0">
                  <c:v>10</c:v>
                </c:pt>
              </c:numCache>
            </c:numRef>
          </c:xVal>
          <c:yVal>
            <c:numRef>
              <c:f>'結果（a 収量比数）'!$E$12</c:f>
              <c:numCache>
                <c:formatCode>#,##0_ </c:formatCode>
                <c:ptCount val="1"/>
                <c:pt idx="0">
                  <c:v>2400</c:v>
                </c:pt>
              </c:numCache>
            </c:numRef>
          </c:yVal>
          <c:smooth val="0"/>
          <c:extLst>
            <c:ext xmlns:c16="http://schemas.microsoft.com/office/drawing/2014/chart" uri="{C3380CC4-5D6E-409C-BE32-E72D297353CC}">
              <c16:uniqueId val="{00000001-C457-4507-98AE-6E0CC2E29649}"/>
            </c:ext>
          </c:extLst>
        </c:ser>
        <c:ser>
          <c:idx val="2"/>
          <c:order val="2"/>
          <c:tx>
            <c:v>伐期</c:v>
          </c:tx>
          <c:spPr>
            <a:ln>
              <a:noFill/>
            </a:ln>
          </c:spPr>
          <c:marker>
            <c:symbol val="circle"/>
            <c:size val="5"/>
            <c:spPr>
              <a:solidFill>
                <a:schemeClr val="accent6">
                  <a:lumMod val="75000"/>
                </a:schemeClr>
              </a:solidFill>
              <a:ln>
                <a:solidFill>
                  <a:schemeClr val="accent6">
                    <a:lumMod val="50000"/>
                  </a:schemeClr>
                </a:solidFill>
              </a:ln>
            </c:spPr>
          </c:marker>
          <c:xVal>
            <c:numRef>
              <c:f>'結果（a 収量比数）'!$B$42</c:f>
              <c:numCache>
                <c:formatCode>General</c:formatCode>
                <c:ptCount val="1"/>
                <c:pt idx="0">
                  <c:v>120</c:v>
                </c:pt>
              </c:numCache>
            </c:numRef>
          </c:xVal>
          <c:yVal>
            <c:numRef>
              <c:f>'結果（a 収量比数）'!$E$42</c:f>
              <c:numCache>
                <c:formatCode>#,##0_ </c:formatCode>
                <c:ptCount val="1"/>
                <c:pt idx="0">
                  <c:v>453.00436555367423</c:v>
                </c:pt>
              </c:numCache>
            </c:numRef>
          </c:yVal>
          <c:smooth val="0"/>
          <c:extLst>
            <c:ext xmlns:c16="http://schemas.microsoft.com/office/drawing/2014/chart" uri="{C3380CC4-5D6E-409C-BE32-E72D297353CC}">
              <c16:uniqueId val="{00000002-C457-4507-98AE-6E0CC2E29649}"/>
            </c:ext>
          </c:extLst>
        </c:ser>
        <c:dLbls>
          <c:showLegendKey val="0"/>
          <c:showVal val="0"/>
          <c:showCatName val="0"/>
          <c:showSerName val="0"/>
          <c:showPercent val="0"/>
          <c:showBubbleSize val="0"/>
        </c:dLbls>
        <c:axId val="914885888"/>
        <c:axId val="914886872"/>
      </c:scatterChart>
      <c:valAx>
        <c:axId val="914885888"/>
        <c:scaling>
          <c:orientation val="minMax"/>
        </c:scaling>
        <c:delete val="0"/>
        <c:axPos val="b"/>
        <c:majorGridlines>
          <c:spPr>
            <a:ln w="9525" cap="flat" cmpd="sng" algn="ctr">
              <a:solidFill>
                <a:schemeClr val="tx1">
                  <a:lumMod val="15000"/>
                  <a:lumOff val="85000"/>
                </a:schemeClr>
              </a:solidFill>
              <a:round/>
            </a:ln>
            <a:effectLst/>
          </c:spPr>
        </c:majorGridlines>
        <c:title>
          <c:tx>
            <c:rich>
              <a:bodyPr/>
              <a:lstStyle/>
              <a:p>
                <a:pPr>
                  <a:defRPr/>
                </a:pPr>
                <a:r>
                  <a:rPr lang="ja-JP" altLang="en-US"/>
                  <a:t>林齢（年生）</a:t>
                </a:r>
              </a:p>
            </c:rich>
          </c:tx>
          <c:layout/>
          <c:overlay val="0"/>
        </c:title>
        <c:numFmt formatCode="General" sourceLinked="1"/>
        <c:majorTickMark val="none"/>
        <c:minorTickMark val="none"/>
        <c:tickLblPos val="nextTo"/>
        <c:spPr>
          <a:noFill/>
          <a:ln w="9525" cap="flat" cmpd="sng" algn="ctr">
            <a:solidFill>
              <a:sysClr val="windowText" lastClr="000000"/>
            </a:solidFill>
            <a:round/>
          </a:ln>
          <a:effectLst/>
        </c:spPr>
        <c:txPr>
          <a:bodyPr rot="-60000000" vert="horz"/>
          <a:lstStyle/>
          <a:p>
            <a:pPr>
              <a:defRPr/>
            </a:pPr>
            <a:endParaRPr lang="ja-JP"/>
          </a:p>
        </c:txPr>
        <c:crossAx val="914886872"/>
        <c:crosses val="autoZero"/>
        <c:crossBetween val="midCat"/>
        <c:majorUnit val="10"/>
      </c:valAx>
      <c:valAx>
        <c:axId val="914886872"/>
        <c:scaling>
          <c:orientation val="minMax"/>
          <c:max val="4000"/>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en-US" altLang="ja-JP"/>
                  <a:t>ha</a:t>
                </a:r>
                <a:r>
                  <a:rPr lang="ja-JP" altLang="en-US"/>
                  <a:t>あたり本数（本</a:t>
                </a:r>
                <a:r>
                  <a:rPr lang="en-US" altLang="ja-JP"/>
                  <a:t>/ha</a:t>
                </a:r>
                <a:r>
                  <a:rPr lang="ja-JP" altLang="en-US"/>
                  <a:t>）</a:t>
                </a:r>
              </a:p>
            </c:rich>
          </c:tx>
          <c:layout/>
          <c:overlay val="0"/>
        </c:title>
        <c:numFmt formatCode="#,##0_ " sourceLinked="0"/>
        <c:majorTickMark val="none"/>
        <c:minorTickMark val="none"/>
        <c:tickLblPos val="nextTo"/>
        <c:spPr>
          <a:noFill/>
          <a:ln w="9525" cap="flat" cmpd="sng" algn="ctr">
            <a:solidFill>
              <a:sysClr val="windowText" lastClr="000000"/>
            </a:solidFill>
            <a:round/>
          </a:ln>
          <a:effectLst/>
        </c:spPr>
        <c:txPr>
          <a:bodyPr rot="-60000000" vert="horz"/>
          <a:lstStyle/>
          <a:p>
            <a:pPr>
              <a:defRPr/>
            </a:pPr>
            <a:endParaRPr lang="ja-JP"/>
          </a:p>
        </c:txPr>
        <c:crossAx val="914885888"/>
        <c:crosses val="autoZero"/>
        <c:crossBetween val="midCat"/>
        <c:majorUnit val="500"/>
      </c:valAx>
      <c:spPr>
        <a:ln>
          <a:solidFill>
            <a:schemeClr val="tx1"/>
          </a:solidFill>
        </a:ln>
      </c:spPr>
    </c:plotArea>
    <c:legend>
      <c:legendPos val="r"/>
      <c:legendEntry>
        <c:idx val="1"/>
        <c:delete val="1"/>
      </c:legendEntry>
      <c:legendEntry>
        <c:idx val="2"/>
        <c:delete val="1"/>
      </c:legendEntry>
      <c:layout>
        <c:manualLayout>
          <c:xMode val="edge"/>
          <c:yMode val="edge"/>
          <c:x val="0.64233421926360146"/>
          <c:y val="0.19568727520171089"/>
          <c:w val="0.25671940849665087"/>
          <c:h val="9.6711869349664623E-2"/>
        </c:manualLayout>
      </c:layout>
      <c:overlay val="0"/>
      <c:spPr>
        <a:solidFill>
          <a:schemeClr val="bg1"/>
        </a:solidFill>
        <a:ln>
          <a:solidFill>
            <a:schemeClr val="tx1"/>
          </a:solidFill>
        </a:ln>
      </c:spPr>
    </c:legend>
    <c:plotVisOnly val="1"/>
    <c:dispBlanksAs val="gap"/>
    <c:showDLblsOverMax val="0"/>
  </c:chart>
  <c:spPr>
    <a:ln>
      <a:noFill/>
    </a:ln>
  </c:spPr>
  <c:txPr>
    <a:bodyPr/>
    <a:lstStyle/>
    <a:p>
      <a:pPr>
        <a:defRPr sz="80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ja-JP" altLang="en-US"/>
              <a:t>直径・材積の推移</a:t>
            </a:r>
            <a:endParaRPr lang="en-US"/>
          </a:p>
        </c:rich>
      </c:tx>
      <c:layout>
        <c:manualLayout>
          <c:xMode val="edge"/>
          <c:yMode val="edge"/>
          <c:x val="0.36220644550578718"/>
          <c:y val="1.8518518518518517E-2"/>
        </c:manualLayout>
      </c:layout>
      <c:overlay val="0"/>
      <c:spPr>
        <a:noFill/>
        <a:ln>
          <a:noFill/>
        </a:ln>
        <a:effectLst/>
      </c:spPr>
    </c:title>
    <c:autoTitleDeleted val="0"/>
    <c:plotArea>
      <c:layout>
        <c:manualLayout>
          <c:layoutTarget val="inner"/>
          <c:xMode val="edge"/>
          <c:yMode val="edge"/>
          <c:x val="0.18894869959436889"/>
          <c:y val="0.11967290520845698"/>
          <c:w val="0.69452223017577353"/>
          <c:h val="0.69676047438514632"/>
        </c:manualLayout>
      </c:layout>
      <c:scatterChart>
        <c:scatterStyle val="lineMarker"/>
        <c:varyColors val="0"/>
        <c:ser>
          <c:idx val="3"/>
          <c:order val="3"/>
          <c:tx>
            <c:strRef>
              <c:f>'a（自動）計算用'!$H$4</c:f>
              <c:strCache>
                <c:ptCount val="1"/>
                <c:pt idx="0">
                  <c:v>ha材積</c:v>
                </c:pt>
              </c:strCache>
            </c:strRef>
          </c:tx>
          <c:marker>
            <c:symbol val="none"/>
          </c:marker>
          <c:xVal>
            <c:numRef>
              <c:f>'a（自動）計算用'!$D$5:$D$115</c:f>
              <c:numCache>
                <c:formatCode>General</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'a（自動）計算用'!$H$5:$H$115</c:f>
              <c:numCache>
                <c:formatCode>0.0_ </c:formatCode>
                <c:ptCount val="111"/>
                <c:pt idx="0">
                  <c:v>102.2800111677394</c:v>
                </c:pt>
                <c:pt idx="1">
                  <c:v>124.22331651364004</c:v>
                </c:pt>
                <c:pt idx="2">
                  <c:v>146.76866090703777</c:v>
                </c:pt>
                <c:pt idx="3">
                  <c:v>170.35142162858887</c:v>
                </c:pt>
                <c:pt idx="4">
                  <c:v>194.70162037952747</c:v>
                </c:pt>
                <c:pt idx="5">
                  <c:v>219.66196464449416</c:v>
                </c:pt>
                <c:pt idx="6">
                  <c:v>245.09492476727775</c:v>
                </c:pt>
                <c:pt idx="7">
                  <c:v>270.88036921106317</c:v>
                </c:pt>
                <c:pt idx="8">
                  <c:v>296.91335942972614</c:v>
                </c:pt>
                <c:pt idx="9">
                  <c:v>276.81653041320635</c:v>
                </c:pt>
                <c:pt idx="10">
                  <c:v>301.82981555955007</c:v>
                </c:pt>
                <c:pt idx="11">
                  <c:v>327.06299130318308</c:v>
                </c:pt>
                <c:pt idx="12">
                  <c:v>352.43973137050881</c:v>
                </c:pt>
                <c:pt idx="13">
                  <c:v>377.89129155446136</c:v>
                </c:pt>
                <c:pt idx="14">
                  <c:v>403.35587238814719</c:v>
                </c:pt>
                <c:pt idx="15">
                  <c:v>367.6659335211275</c:v>
                </c:pt>
                <c:pt idx="16">
                  <c:v>390.70071763183762</c:v>
                </c:pt>
                <c:pt idx="17">
                  <c:v>413.69120120572887</c:v>
                </c:pt>
                <c:pt idx="18">
                  <c:v>436.59534263957698</c:v>
                </c:pt>
                <c:pt idx="19">
                  <c:v>459.37531823393408</c:v>
                </c:pt>
                <c:pt idx="20">
                  <c:v>481.99722450965783</c:v>
                </c:pt>
                <c:pt idx="21">
                  <c:v>504.43079637349933</c:v>
                </c:pt>
                <c:pt idx="22">
                  <c:v>526.64914064941865</c:v>
                </c:pt>
                <c:pt idx="23">
                  <c:v>548.62848431566863</c:v>
                </c:pt>
                <c:pt idx="24">
                  <c:v>489.18412756758204</c:v>
                </c:pt>
                <c:pt idx="25">
                  <c:v>508.65706167433763</c:v>
                </c:pt>
                <c:pt idx="26">
                  <c:v>527.90598854521966</c:v>
                </c:pt>
                <c:pt idx="27">
                  <c:v>546.9152111539986</c:v>
                </c:pt>
                <c:pt idx="28">
                  <c:v>565.67105933931236</c:v>
                </c:pt>
                <c:pt idx="29">
                  <c:v>584.16173400716696</c:v>
                </c:pt>
                <c:pt idx="30">
                  <c:v>602.37715849247434</c:v>
                </c:pt>
                <c:pt idx="31">
                  <c:v>620.30883729133245</c:v>
                </c:pt>
                <c:pt idx="32">
                  <c:v>637.94972230689098</c:v>
                </c:pt>
                <c:pt idx="33">
                  <c:v>655.29408668297219</c:v>
                </c:pt>
                <c:pt idx="34">
                  <c:v>672.33740623230506</c:v>
                </c:pt>
                <c:pt idx="35">
                  <c:v>689.07624840194057</c:v>
                </c:pt>
                <c:pt idx="36">
                  <c:v>705.50816865861123</c:v>
                </c:pt>
                <c:pt idx="37">
                  <c:v>721.63161412283648</c:v>
                </c:pt>
                <c:pt idx="38">
                  <c:v>737.44583423342112</c:v>
                </c:pt>
                <c:pt idx="39">
                  <c:v>650.57149919226401</c:v>
                </c:pt>
                <c:pt idx="40">
                  <c:v>664.42136386514278</c:v>
                </c:pt>
                <c:pt idx="41">
                  <c:v>678.00663425350751</c:v>
                </c:pt>
                <c:pt idx="42">
                  <c:v>691.32759919822149</c:v>
                </c:pt>
                <c:pt idx="43">
                  <c:v>704.38503311331465</c:v>
                </c:pt>
                <c:pt idx="44">
                  <c:v>717.18014423502291</c:v>
                </c:pt>
                <c:pt idx="45">
                  <c:v>729.71452716636975</c:v>
                </c:pt>
                <c:pt idx="46">
                  <c:v>741.99011945252948</c:v>
                </c:pt>
                <c:pt idx="47">
                  <c:v>754.00916192158274</c:v>
                </c:pt>
                <c:pt idx="48">
                  <c:v>765.77416252861701</c:v>
                </c:pt>
                <c:pt idx="49">
                  <c:v>777.28786344757305</c:v>
                </c:pt>
                <c:pt idx="50">
                  <c:v>788.55321116412358</c:v>
                </c:pt>
                <c:pt idx="51">
                  <c:v>799.57332933358043</c:v>
                </c:pt>
                <c:pt idx="52">
                  <c:v>810.35149417979665</c:v>
                </c:pt>
                <c:pt idx="53">
                  <c:v>820.89111222383553</c:v>
                </c:pt>
                <c:pt idx="54">
                  <c:v>831.19570014437591</c:v>
                </c:pt>
                <c:pt idx="55">
                  <c:v>841.26886658523256</c:v>
                </c:pt>
                <c:pt idx="56">
                  <c:v>851.1142957385191</c:v>
                </c:pt>
                <c:pt idx="57">
                  <c:v>860.73573254497035</c:v>
                </c:pt>
                <c:pt idx="58">
                  <c:v>870.13696936532108</c:v>
                </c:pt>
                <c:pt idx="59">
                  <c:v>879.32183398856603</c:v>
                </c:pt>
                <c:pt idx="60">
                  <c:v>888.29417885413932</c:v>
                </c:pt>
                <c:pt idx="61">
                  <c:v>897.05787137563289</c:v>
                </c:pt>
                <c:pt idx="62">
                  <c:v>905.61678526350647</c:v>
                </c:pt>
                <c:pt idx="63">
                  <c:v>913.97479275343824</c:v>
                </c:pt>
                <c:pt idx="64">
                  <c:v>922.13575765539815</c:v>
                </c:pt>
                <c:pt idx="65">
                  <c:v>930.10352914632563</c:v>
                </c:pt>
                <c:pt idx="66">
                  <c:v>937.88193623645282</c:v>
                </c:pt>
                <c:pt idx="67">
                  <c:v>945.47478284583337</c:v>
                </c:pt>
                <c:pt idx="68">
                  <c:v>952.88584343362413</c:v>
                </c:pt>
                <c:pt idx="69">
                  <c:v>960.11885912805951</c:v>
                </c:pt>
                <c:pt idx="70">
                  <c:v>967.17753431004644</c:v>
                </c:pt>
                <c:pt idx="71">
                  <c:v>974.06553360770101</c:v>
                </c:pt>
                <c:pt idx="72">
                  <c:v>980.786479263263</c:v>
                </c:pt>
                <c:pt idx="73">
                  <c:v>987.34394883746518</c:v>
                </c:pt>
                <c:pt idx="74">
                  <c:v>993.7414732197235</c:v>
                </c:pt>
                <c:pt idx="75">
                  <c:v>865.24334382579036</c:v>
                </c:pt>
                <c:pt idx="76">
                  <c:v>870.79327227381793</c:v>
                </c:pt>
                <c:pt idx="77">
                  <c:v>876.20865902420496</c:v>
                </c:pt>
                <c:pt idx="78">
                  <c:v>881.49239044306228</c:v>
                </c:pt>
                <c:pt idx="79">
                  <c:v>886.64731378064914</c:v>
                </c:pt>
                <c:pt idx="80">
                  <c:v>891.6762360462576</c:v>
                </c:pt>
                <c:pt idx="81">
                  <c:v>896.58192305055434</c:v>
                </c:pt>
                <c:pt idx="82">
                  <c:v>901.36709860084773</c:v>
                </c:pt>
                <c:pt idx="83">
                  <c:v>906.03444383600959</c:v>
                </c:pt>
                <c:pt idx="84">
                  <c:v>910.58659668887208</c:v>
                </c:pt>
                <c:pt idx="85">
                  <c:v>915.02615146500659</c:v>
                </c:pt>
                <c:pt idx="86">
                  <c:v>919.35565852765865</c:v>
                </c:pt>
                <c:pt idx="87">
                  <c:v>923.57762407951543</c:v>
                </c:pt>
                <c:pt idx="88">
                  <c:v>927.69451003272741</c:v>
                </c:pt>
                <c:pt idx="89">
                  <c:v>931.70873395930425</c:v>
                </c:pt>
                <c:pt idx="90">
                  <c:v>935.62266911468214</c:v>
                </c:pt>
                <c:pt idx="91">
                  <c:v>939.43864452779019</c:v>
                </c:pt>
                <c:pt idx="92">
                  <c:v>943.1589451515307</c:v>
                </c:pt>
                <c:pt idx="93">
                  <c:v>946.78581206804131</c:v>
                </c:pt>
                <c:pt idx="94">
                  <c:v>950.3214427435679</c:v>
                </c:pt>
                <c:pt idx="95">
                  <c:v>953.76799132818962</c:v>
                </c:pt>
                <c:pt idx="96">
                  <c:v>957.12756899598719</c:v>
                </c:pt>
                <c:pt idx="97">
                  <c:v>960.40224432164712</c:v>
                </c:pt>
                <c:pt idx="98">
                  <c:v>963.59404368972287</c:v>
                </c:pt>
                <c:pt idx="99">
                  <c:v>966.70495173315635</c:v>
                </c:pt>
                <c:pt idx="100">
                  <c:v>969.73691179786033</c:v>
                </c:pt>
                <c:pt idx="101">
                  <c:v>972.69182643045235</c:v>
                </c:pt>
                <c:pt idx="102">
                  <c:v>975.5715578864249</c:v>
                </c:pt>
                <c:pt idx="103">
                  <c:v>978.37792865626704</c:v>
                </c:pt>
                <c:pt idx="104">
                  <c:v>981.11272200725409</c:v>
                </c:pt>
                <c:pt idx="105">
                  <c:v>983.77768253875183</c:v>
                </c:pt>
                <c:pt idx="106">
                  <c:v>986.37451674911506</c:v>
                </c:pt>
                <c:pt idx="107">
                  <c:v>988.90489361235393</c:v>
                </c:pt>
                <c:pt idx="108">
                  <c:v>991.37044516291189</c:v>
                </c:pt>
                <c:pt idx="109">
                  <c:v>993.77276708703721</c:v>
                </c:pt>
                <c:pt idx="110">
                  <c:v>996.11341931930667</c:v>
                </c:pt>
              </c:numCache>
            </c:numRef>
          </c:yVal>
          <c:smooth val="0"/>
          <c:extLst>
            <c:ext xmlns:c16="http://schemas.microsoft.com/office/drawing/2014/chart" uri="{C3380CC4-5D6E-409C-BE32-E72D297353CC}">
              <c16:uniqueId val="{00000003-F54B-4523-901C-198ACF938B73}"/>
            </c:ext>
          </c:extLst>
        </c:ser>
        <c:ser>
          <c:idx val="4"/>
          <c:order val="4"/>
          <c:tx>
            <c:v>材積現況</c:v>
          </c:tx>
          <c:spPr>
            <a:ln>
              <a:noFill/>
            </a:ln>
          </c:spPr>
          <c:marker>
            <c:symbol val="circle"/>
            <c:size val="5"/>
            <c:spPr>
              <a:solidFill>
                <a:schemeClr val="accent4">
                  <a:lumMod val="60000"/>
                  <a:lumOff val="40000"/>
                </a:schemeClr>
              </a:solidFill>
              <a:ln>
                <a:solidFill>
                  <a:schemeClr val="accent4"/>
                </a:solidFill>
              </a:ln>
            </c:spPr>
          </c:marker>
          <c:xVal>
            <c:numRef>
              <c:f>'結果（a 収量比数）'!$B$12</c:f>
              <c:numCache>
                <c:formatCode>General</c:formatCode>
                <c:ptCount val="1"/>
                <c:pt idx="0">
                  <c:v>10</c:v>
                </c:pt>
              </c:numCache>
            </c:numRef>
          </c:xVal>
          <c:yVal>
            <c:numRef>
              <c:f>'結果（a 収量比数）'!$F$12</c:f>
              <c:numCache>
                <c:formatCode>0.0_ </c:formatCode>
                <c:ptCount val="1"/>
                <c:pt idx="0">
                  <c:v>102.11402709994887</c:v>
                </c:pt>
              </c:numCache>
            </c:numRef>
          </c:yVal>
          <c:smooth val="0"/>
          <c:extLst>
            <c:ext xmlns:c16="http://schemas.microsoft.com/office/drawing/2014/chart" uri="{C3380CC4-5D6E-409C-BE32-E72D297353CC}">
              <c16:uniqueId val="{00000010-F54B-4523-901C-198ACF938B73}"/>
            </c:ext>
          </c:extLst>
        </c:ser>
        <c:ser>
          <c:idx val="5"/>
          <c:order val="5"/>
          <c:tx>
            <c:v>材積伐期</c:v>
          </c:tx>
          <c:spPr>
            <a:ln>
              <a:noFill/>
            </a:ln>
          </c:spPr>
          <c:marker>
            <c:symbol val="circle"/>
            <c:size val="5"/>
            <c:spPr>
              <a:solidFill>
                <a:schemeClr val="accent4"/>
              </a:solidFill>
              <a:ln>
                <a:solidFill>
                  <a:schemeClr val="accent4">
                    <a:lumMod val="50000"/>
                  </a:schemeClr>
                </a:solidFill>
              </a:ln>
            </c:spPr>
          </c:marker>
          <c:xVal>
            <c:numRef>
              <c:f>'結果（a 収量比数）'!$B$42</c:f>
              <c:numCache>
                <c:formatCode>General</c:formatCode>
                <c:ptCount val="1"/>
                <c:pt idx="0">
                  <c:v>120</c:v>
                </c:pt>
              </c:numCache>
            </c:numRef>
          </c:xVal>
          <c:yVal>
            <c:numRef>
              <c:f>'結果（a 収量比数）'!$F$42</c:f>
              <c:numCache>
                <c:formatCode>0.0_ </c:formatCode>
                <c:ptCount val="1"/>
                <c:pt idx="0">
                  <c:v>996.11341931930667</c:v>
                </c:pt>
              </c:numCache>
            </c:numRef>
          </c:yVal>
          <c:smooth val="0"/>
          <c:extLst>
            <c:ext xmlns:c16="http://schemas.microsoft.com/office/drawing/2014/chart" uri="{C3380CC4-5D6E-409C-BE32-E72D297353CC}">
              <c16:uniqueId val="{00000011-F54B-4523-901C-198ACF938B73}"/>
            </c:ext>
          </c:extLst>
        </c:ser>
        <c:dLbls>
          <c:showLegendKey val="0"/>
          <c:showVal val="0"/>
          <c:showCatName val="0"/>
          <c:showSerName val="0"/>
          <c:showPercent val="0"/>
          <c:showBubbleSize val="0"/>
        </c:dLbls>
        <c:axId val="914885888"/>
        <c:axId val="914886872"/>
      </c:scatterChart>
      <c:scatterChart>
        <c:scatterStyle val="lineMarker"/>
        <c:varyColors val="0"/>
        <c:ser>
          <c:idx val="0"/>
          <c:order val="0"/>
          <c:tx>
            <c:strRef>
              <c:f>'a（自動）計算用'!$I$4</c:f>
              <c:strCache>
                <c:ptCount val="1"/>
                <c:pt idx="0">
                  <c:v>直径</c:v>
                </c:pt>
              </c:strCache>
            </c:strRef>
          </c:tx>
          <c:marker>
            <c:symbol val="none"/>
          </c:marker>
          <c:xVal>
            <c:numRef>
              <c:f>'a（自動）計算用'!$D$5:$D$115</c:f>
              <c:numCache>
                <c:formatCode>General</c:formatCode>
                <c:ptCount val="11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numCache>
            </c:numRef>
          </c:xVal>
          <c:yVal>
            <c:numRef>
              <c:f>'a（自動）計算用'!$I$5:$I$115</c:f>
              <c:numCache>
                <c:formatCode>0.0_ </c:formatCode>
                <c:ptCount val="111"/>
                <c:pt idx="0">
                  <c:v>11.138932082557449</c:v>
                </c:pt>
                <c:pt idx="1">
                  <c:v>11.817060145244328</c:v>
                </c:pt>
                <c:pt idx="2">
                  <c:v>12.468685617754097</c:v>
                </c:pt>
                <c:pt idx="3">
                  <c:v>13.068959350969083</c:v>
                </c:pt>
                <c:pt idx="4">
                  <c:v>13.628019851557575</c:v>
                </c:pt>
                <c:pt idx="5">
                  <c:v>14.15072273584609</c:v>
                </c:pt>
                <c:pt idx="6">
                  <c:v>14.641189504521389</c:v>
                </c:pt>
                <c:pt idx="7">
                  <c:v>15.102923750828976</c:v>
                </c:pt>
                <c:pt idx="8">
                  <c:v>15.538911291599399</c:v>
                </c:pt>
                <c:pt idx="9">
                  <c:v>17.941601417194548</c:v>
                </c:pt>
                <c:pt idx="10">
                  <c:v>18.373665098837925</c:v>
                </c:pt>
                <c:pt idx="11">
                  <c:v>18.778483779039526</c:v>
                </c:pt>
                <c:pt idx="12">
                  <c:v>19.158318142658388</c:v>
                </c:pt>
                <c:pt idx="13">
                  <c:v>19.515196765110471</c:v>
                </c:pt>
                <c:pt idx="14">
                  <c:v>19.850943424101803</c:v>
                </c:pt>
                <c:pt idx="15">
                  <c:v>22.542107957952606</c:v>
                </c:pt>
                <c:pt idx="16">
                  <c:v>22.918586201051557</c:v>
                </c:pt>
                <c:pt idx="17">
                  <c:v>23.27532449258662</c:v>
                </c:pt>
                <c:pt idx="18">
                  <c:v>23.613646495244048</c:v>
                </c:pt>
                <c:pt idx="19">
                  <c:v>23.934766339490974</c:v>
                </c:pt>
                <c:pt idx="20">
                  <c:v>24.239799428023662</c:v>
                </c:pt>
                <c:pt idx="21">
                  <c:v>24.529772045089821</c:v>
                </c:pt>
                <c:pt idx="22">
                  <c:v>24.805629901955808</c:v>
                </c:pt>
                <c:pt idx="23">
                  <c:v>25.068245738886567</c:v>
                </c:pt>
                <c:pt idx="24">
                  <c:v>28.162666852121546</c:v>
                </c:pt>
                <c:pt idx="25">
                  <c:v>28.461133192967722</c:v>
                </c:pt>
                <c:pt idx="26">
                  <c:v>28.746482419560312</c:v>
                </c:pt>
                <c:pt idx="27">
                  <c:v>29.019429308496541</c:v>
                </c:pt>
                <c:pt idx="28">
                  <c:v>29.28064210267361</c:v>
                </c:pt>
                <c:pt idx="29">
                  <c:v>29.530746049025506</c:v>
                </c:pt>
                <c:pt idx="30">
                  <c:v>29.770326614206979</c:v>
                </c:pt>
                <c:pt idx="31">
                  <c:v>29.999932413522846</c:v>
                </c:pt>
                <c:pt idx="32">
                  <c:v>30.220077884262597</c:v>
                </c:pt>
                <c:pt idx="33">
                  <c:v>30.431245730850911</c:v>
                </c:pt>
                <c:pt idx="34">
                  <c:v>30.633889165865401</c:v>
                </c:pt>
                <c:pt idx="35">
                  <c:v>30.828433967991618</c:v>
                </c:pt>
                <c:pt idx="36">
                  <c:v>31.01528037536141</c:v>
                </c:pt>
                <c:pt idx="37">
                  <c:v>31.194804830427334</c:v>
                </c:pt>
                <c:pt idx="38">
                  <c:v>31.367361590533299</c:v>
                </c:pt>
                <c:pt idx="39">
                  <c:v>34.768742386492079</c:v>
                </c:pt>
                <c:pt idx="40">
                  <c:v>34.965136950983052</c:v>
                </c:pt>
                <c:pt idx="41">
                  <c:v>35.154335074364454</c:v>
                </c:pt>
                <c:pt idx="42">
                  <c:v>35.336656257800101</c:v>
                </c:pt>
                <c:pt idx="43">
                  <c:v>35.512402984379627</c:v>
                </c:pt>
                <c:pt idx="44">
                  <c:v>35.681861738537783</c:v>
                </c:pt>
                <c:pt idx="45">
                  <c:v>35.845303961474485</c:v>
                </c:pt>
                <c:pt idx="46">
                  <c:v>36.002986946747257</c:v>
                </c:pt>
                <c:pt idx="47">
                  <c:v>36.155154679865177</c:v>
                </c:pt>
                <c:pt idx="48">
                  <c:v>36.302038625419563</c:v>
                </c:pt>
                <c:pt idx="49">
                  <c:v>36.443858465031724</c:v>
                </c:pt>
                <c:pt idx="50">
                  <c:v>36.580822789173901</c:v>
                </c:pt>
                <c:pt idx="51">
                  <c:v>36.713129745720913</c:v>
                </c:pt>
                <c:pt idx="52">
                  <c:v>36.840967647911427</c:v>
                </c:pt>
                <c:pt idx="53">
                  <c:v>36.964515544235169</c:v>
                </c:pt>
                <c:pt idx="54">
                  <c:v>37.083943752612889</c:v>
                </c:pt>
                <c:pt idx="55">
                  <c:v>37.19941436109827</c:v>
                </c:pt>
                <c:pt idx="56">
                  <c:v>37.311081697200123</c:v>
                </c:pt>
                <c:pt idx="57">
                  <c:v>37.419092767803114</c:v>
                </c:pt>
                <c:pt idx="58">
                  <c:v>37.523587671548988</c:v>
                </c:pt>
                <c:pt idx="59">
                  <c:v>37.624699985432009</c:v>
                </c:pt>
                <c:pt idx="60">
                  <c:v>37.722557127258767</c:v>
                </c:pt>
                <c:pt idx="61">
                  <c:v>37.817280695524111</c:v>
                </c:pt>
                <c:pt idx="62">
                  <c:v>37.908986788160831</c:v>
                </c:pt>
                <c:pt idx="63">
                  <c:v>37.997786301533026</c:v>
                </c:pt>
                <c:pt idx="64">
                  <c:v>38.083785210957402</c:v>
                </c:pt>
                <c:pt idx="65">
                  <c:v>38.167084833956942</c:v>
                </c:pt>
                <c:pt idx="66">
                  <c:v>38.247782077375518</c:v>
                </c:pt>
                <c:pt idx="67">
                  <c:v>38.325969669409659</c:v>
                </c:pt>
                <c:pt idx="68">
                  <c:v>38.401736377546001</c:v>
                </c:pt>
                <c:pt idx="69">
                  <c:v>38.475167213327971</c:v>
                </c:pt>
                <c:pt idx="70">
                  <c:v>38.546343624815997</c:v>
                </c:pt>
                <c:pt idx="71">
                  <c:v>38.615343677546612</c:v>
                </c:pt>
                <c:pt idx="72">
                  <c:v>38.682242224743952</c:v>
                </c:pt>
                <c:pt idx="73">
                  <c:v>38.74711106748596</c:v>
                </c:pt>
                <c:pt idx="74">
                  <c:v>38.810019105480187</c:v>
                </c:pt>
                <c:pt idx="75">
                  <c:v>42.711905271695571</c:v>
                </c:pt>
                <c:pt idx="76">
                  <c:v>42.784315522903128</c:v>
                </c:pt>
                <c:pt idx="77">
                  <c:v>42.854583773765853</c:v>
                </c:pt>
                <c:pt idx="78">
                  <c:v>42.922779645994829</c:v>
                </c:pt>
                <c:pt idx="79">
                  <c:v>42.988970141371823</c:v>
                </c:pt>
                <c:pt idx="80">
                  <c:v>43.053219760071975</c:v>
                </c:pt>
                <c:pt idx="81">
                  <c:v>43.115590612630911</c:v>
                </c:pt>
                <c:pt idx="82">
                  <c:v>43.176142525943419</c:v>
                </c:pt>
                <c:pt idx="83">
                  <c:v>43.234933143655681</c:v>
                </c:pt>
                <c:pt idx="84">
                  <c:v>43.292018021288719</c:v>
                </c:pt>
                <c:pt idx="85">
                  <c:v>43.34745071641025</c:v>
                </c:pt>
                <c:pt idx="86">
                  <c:v>43.40128287415029</c:v>
                </c:pt>
                <c:pt idx="87">
                  <c:v>43.453564308337434</c:v>
                </c:pt>
                <c:pt idx="88">
                  <c:v>43.504343078514694</c:v>
                </c:pt>
                <c:pt idx="89">
                  <c:v>43.553665563076713</c:v>
                </c:pt>
                <c:pt idx="90">
                  <c:v>43.601576528755324</c:v>
                </c:pt>
                <c:pt idx="91">
                  <c:v>43.648119196664787</c:v>
                </c:pt>
                <c:pt idx="92">
                  <c:v>43.693335305105641</c:v>
                </c:pt>
                <c:pt idx="93">
                  <c:v>43.737265169312209</c:v>
                </c:pt>
                <c:pt idx="94">
                  <c:v>43.779947738318036</c:v>
                </c:pt>
                <c:pt idx="95">
                  <c:v>43.82142064910196</c:v>
                </c:pt>
                <c:pt idx="96">
                  <c:v>43.861720278166928</c:v>
                </c:pt>
                <c:pt idx="97">
                  <c:v>43.900881790695273</c:v>
                </c:pt>
                <c:pt idx="98">
                  <c:v>43.938939187413446</c:v>
                </c:pt>
                <c:pt idx="99">
                  <c:v>43.975925349292595</c:v>
                </c:pt>
                <c:pt idx="100">
                  <c:v>44.011872080202394</c:v>
                </c:pt>
                <c:pt idx="101">
                  <c:v>44.046810147628854</c:v>
                </c:pt>
                <c:pt idx="102">
                  <c:v>44.080769321559785</c:v>
                </c:pt>
                <c:pt idx="103">
                  <c:v>44.113778411635366</c:v>
                </c:pt>
                <c:pt idx="104">
                  <c:v>44.145865302655658</c:v>
                </c:pt>
                <c:pt idx="105">
                  <c:v>44.177056988530403</c:v>
                </c:pt>
                <c:pt idx="106">
                  <c:v>44.207379604752923</c:v>
                </c:pt>
                <c:pt idx="107">
                  <c:v>44.236858459473254</c:v>
                </c:pt>
                <c:pt idx="108">
                  <c:v>44.265518063242688</c:v>
                </c:pt>
                <c:pt idx="109">
                  <c:v>44.293382157497007</c:v>
                </c:pt>
                <c:pt idx="110">
                  <c:v>44.320473741841305</c:v>
                </c:pt>
              </c:numCache>
            </c:numRef>
          </c:yVal>
          <c:smooth val="0"/>
          <c:extLst>
            <c:ext xmlns:c16="http://schemas.microsoft.com/office/drawing/2014/chart" uri="{C3380CC4-5D6E-409C-BE32-E72D297353CC}">
              <c16:uniqueId val="{00000000-F54B-4523-901C-198ACF938B73}"/>
            </c:ext>
          </c:extLst>
        </c:ser>
        <c:ser>
          <c:idx val="1"/>
          <c:order val="1"/>
          <c:tx>
            <c:v>直径現況</c:v>
          </c:tx>
          <c:spPr>
            <a:ln w="19050">
              <a:noFill/>
            </a:ln>
          </c:spPr>
          <c:marker>
            <c:symbol val="circle"/>
            <c:size val="5"/>
            <c:spPr>
              <a:solidFill>
                <a:schemeClr val="accent5">
                  <a:lumMod val="40000"/>
                  <a:lumOff val="60000"/>
                </a:schemeClr>
              </a:solidFill>
              <a:ln>
                <a:solidFill>
                  <a:schemeClr val="accent5"/>
                </a:solidFill>
              </a:ln>
            </c:spPr>
          </c:marker>
          <c:xVal>
            <c:numRef>
              <c:f>'結果（a 収量比数）'!$B$12</c:f>
              <c:numCache>
                <c:formatCode>General</c:formatCode>
                <c:ptCount val="1"/>
                <c:pt idx="0">
                  <c:v>10</c:v>
                </c:pt>
              </c:numCache>
            </c:numRef>
          </c:xVal>
          <c:yVal>
            <c:numRef>
              <c:f>'結果（a 収量比数）'!$D$12</c:f>
              <c:numCache>
                <c:formatCode>0.0_ </c:formatCode>
                <c:ptCount val="1"/>
                <c:pt idx="0">
                  <c:v>11.133365069221741</c:v>
                </c:pt>
              </c:numCache>
            </c:numRef>
          </c:yVal>
          <c:smooth val="0"/>
          <c:extLst>
            <c:ext xmlns:c16="http://schemas.microsoft.com/office/drawing/2014/chart" uri="{C3380CC4-5D6E-409C-BE32-E72D297353CC}">
              <c16:uniqueId val="{00000001-F54B-4523-901C-198ACF938B73}"/>
            </c:ext>
          </c:extLst>
        </c:ser>
        <c:ser>
          <c:idx val="2"/>
          <c:order val="2"/>
          <c:tx>
            <c:v>直径伐期</c:v>
          </c:tx>
          <c:spPr>
            <a:ln w="19050">
              <a:noFill/>
            </a:ln>
          </c:spPr>
          <c:marker>
            <c:symbol val="circle"/>
            <c:size val="5"/>
            <c:spPr>
              <a:solidFill>
                <a:schemeClr val="accent5">
                  <a:lumMod val="75000"/>
                </a:schemeClr>
              </a:solidFill>
              <a:ln>
                <a:solidFill>
                  <a:schemeClr val="accent5">
                    <a:lumMod val="50000"/>
                  </a:schemeClr>
                </a:solidFill>
              </a:ln>
            </c:spPr>
          </c:marker>
          <c:xVal>
            <c:numRef>
              <c:f>'結果（a 収量比数）'!$B$42</c:f>
              <c:numCache>
                <c:formatCode>General</c:formatCode>
                <c:ptCount val="1"/>
                <c:pt idx="0">
                  <c:v>120</c:v>
                </c:pt>
              </c:numCache>
            </c:numRef>
          </c:xVal>
          <c:yVal>
            <c:numRef>
              <c:f>'結果（a 収量比数）'!$D$42</c:f>
              <c:numCache>
                <c:formatCode>0.0_ </c:formatCode>
                <c:ptCount val="1"/>
                <c:pt idx="0">
                  <c:v>44.320473741841305</c:v>
                </c:pt>
              </c:numCache>
            </c:numRef>
          </c:yVal>
          <c:smooth val="0"/>
          <c:extLst>
            <c:ext xmlns:c16="http://schemas.microsoft.com/office/drawing/2014/chart" uri="{C3380CC4-5D6E-409C-BE32-E72D297353CC}">
              <c16:uniqueId val="{00000002-F54B-4523-901C-198ACF938B73}"/>
            </c:ext>
          </c:extLst>
        </c:ser>
        <c:dLbls>
          <c:showLegendKey val="0"/>
          <c:showVal val="0"/>
          <c:showCatName val="0"/>
          <c:showSerName val="0"/>
          <c:showPercent val="0"/>
          <c:showBubbleSize val="0"/>
        </c:dLbls>
        <c:axId val="861355672"/>
        <c:axId val="861359936"/>
      </c:scatterChart>
      <c:valAx>
        <c:axId val="914885888"/>
        <c:scaling>
          <c:orientation val="minMax"/>
        </c:scaling>
        <c:delete val="0"/>
        <c:axPos val="b"/>
        <c:majorGridlines>
          <c:spPr>
            <a:ln w="9525" cap="flat" cmpd="sng" algn="ctr">
              <a:solidFill>
                <a:schemeClr val="tx1">
                  <a:lumMod val="15000"/>
                  <a:lumOff val="85000"/>
                </a:schemeClr>
              </a:solidFill>
              <a:round/>
            </a:ln>
            <a:effectLst/>
          </c:spPr>
        </c:majorGridlines>
        <c:title>
          <c:tx>
            <c:rich>
              <a:bodyPr/>
              <a:lstStyle/>
              <a:p>
                <a:pPr>
                  <a:defRPr/>
                </a:pPr>
                <a:r>
                  <a:rPr lang="ja-JP" altLang="en-US"/>
                  <a:t>林齢（年生）</a:t>
                </a:r>
              </a:p>
            </c:rich>
          </c:tx>
          <c:layout/>
          <c:overlay val="0"/>
        </c:title>
        <c:numFmt formatCode="General" sourceLinked="1"/>
        <c:majorTickMark val="none"/>
        <c:minorTickMark val="none"/>
        <c:tickLblPos val="nextTo"/>
        <c:spPr>
          <a:noFill/>
          <a:ln w="9525" cap="flat" cmpd="sng" algn="ctr">
            <a:solidFill>
              <a:sysClr val="windowText" lastClr="000000"/>
            </a:solidFill>
            <a:round/>
          </a:ln>
          <a:effectLst/>
        </c:spPr>
        <c:txPr>
          <a:bodyPr rot="-60000000" vert="horz"/>
          <a:lstStyle/>
          <a:p>
            <a:pPr>
              <a:defRPr/>
            </a:pPr>
            <a:endParaRPr lang="ja-JP"/>
          </a:p>
        </c:txPr>
        <c:crossAx val="914886872"/>
        <c:crosses val="autoZero"/>
        <c:crossBetween val="midCat"/>
        <c:majorUnit val="10"/>
      </c:valAx>
      <c:valAx>
        <c:axId val="914886872"/>
        <c:scaling>
          <c:orientation val="minMax"/>
          <c:max val="2000"/>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en-US" altLang="ja-JP"/>
                  <a:t>ha</a:t>
                </a:r>
                <a:r>
                  <a:rPr lang="ja-JP" altLang="en-US"/>
                  <a:t>あたり材積（</a:t>
                </a:r>
                <a:r>
                  <a:rPr lang="en-US" altLang="ja-JP"/>
                  <a:t>m</a:t>
                </a:r>
                <a:r>
                  <a:rPr lang="en-US" altLang="ja-JP" baseline="30000"/>
                  <a:t>3</a:t>
                </a:r>
                <a:r>
                  <a:rPr lang="en-US" altLang="ja-JP"/>
                  <a:t>/ha</a:t>
                </a:r>
                <a:r>
                  <a:rPr lang="ja-JP" altLang="en-US"/>
                  <a:t>）</a:t>
                </a:r>
              </a:p>
            </c:rich>
          </c:tx>
          <c:layout/>
          <c:overlay val="0"/>
        </c:title>
        <c:numFmt formatCode="#,##0_ " sourceLinked="0"/>
        <c:majorTickMark val="none"/>
        <c:minorTickMark val="none"/>
        <c:tickLblPos val="nextTo"/>
        <c:spPr>
          <a:noFill/>
          <a:ln w="9525" cap="flat" cmpd="sng" algn="ctr">
            <a:solidFill>
              <a:sysClr val="windowText" lastClr="000000"/>
            </a:solidFill>
            <a:round/>
          </a:ln>
          <a:effectLst/>
        </c:spPr>
        <c:txPr>
          <a:bodyPr rot="-60000000" vert="horz"/>
          <a:lstStyle/>
          <a:p>
            <a:pPr>
              <a:defRPr/>
            </a:pPr>
            <a:endParaRPr lang="ja-JP"/>
          </a:p>
        </c:txPr>
        <c:crossAx val="914885888"/>
        <c:crosses val="autoZero"/>
        <c:crossBetween val="midCat"/>
        <c:majorUnit val="200"/>
      </c:valAx>
      <c:valAx>
        <c:axId val="861359936"/>
        <c:scaling>
          <c:orientation val="minMax"/>
          <c:max val="70"/>
        </c:scaling>
        <c:delete val="0"/>
        <c:axPos val="r"/>
        <c:title>
          <c:tx>
            <c:rich>
              <a:bodyPr/>
              <a:lstStyle/>
              <a:p>
                <a:pPr>
                  <a:defRPr/>
                </a:pPr>
                <a:r>
                  <a:rPr lang="ja-JP" altLang="en-US"/>
                  <a:t>胸高直径（</a:t>
                </a:r>
                <a:r>
                  <a:rPr lang="en-US" altLang="ja-JP"/>
                  <a:t>cm</a:t>
                </a:r>
                <a:r>
                  <a:rPr lang="ja-JP" altLang="en-US"/>
                  <a:t>）</a:t>
                </a:r>
              </a:p>
            </c:rich>
          </c:tx>
          <c:layout>
            <c:manualLayout>
              <c:xMode val="edge"/>
              <c:yMode val="edge"/>
              <c:x val="0.93758080239969999"/>
              <c:y val="0.28286769709341886"/>
            </c:manualLayout>
          </c:layout>
          <c:overlay val="0"/>
        </c:title>
        <c:numFmt formatCode="0_ " sourceLinked="0"/>
        <c:majorTickMark val="out"/>
        <c:minorTickMark val="none"/>
        <c:tickLblPos val="nextTo"/>
        <c:crossAx val="861355672"/>
        <c:crosses val="max"/>
        <c:crossBetween val="midCat"/>
      </c:valAx>
      <c:valAx>
        <c:axId val="861355672"/>
        <c:scaling>
          <c:orientation val="minMax"/>
        </c:scaling>
        <c:delete val="1"/>
        <c:axPos val="b"/>
        <c:numFmt formatCode="General" sourceLinked="1"/>
        <c:majorTickMark val="out"/>
        <c:minorTickMark val="none"/>
        <c:tickLblPos val="nextTo"/>
        <c:crossAx val="861359936"/>
        <c:crosses val="autoZero"/>
        <c:crossBetween val="midCat"/>
      </c:valAx>
      <c:spPr>
        <a:ln>
          <a:solidFill>
            <a:schemeClr val="tx1"/>
          </a:solidFill>
        </a:ln>
      </c:spPr>
    </c:plotArea>
    <c:legend>
      <c:legendPos val="r"/>
      <c:legendEntry>
        <c:idx val="1"/>
        <c:delete val="1"/>
      </c:legendEntry>
      <c:legendEntry>
        <c:idx val="2"/>
        <c:delete val="1"/>
      </c:legendEntry>
      <c:legendEntry>
        <c:idx val="4"/>
        <c:delete val="1"/>
      </c:legendEntry>
      <c:legendEntry>
        <c:idx val="5"/>
        <c:delete val="1"/>
      </c:legendEntry>
      <c:layout>
        <c:manualLayout>
          <c:xMode val="edge"/>
          <c:yMode val="edge"/>
          <c:x val="0.20748556430446194"/>
          <c:y val="0.15162915241655395"/>
          <c:w val="0.24775253093363334"/>
          <c:h val="0.19342373869932925"/>
        </c:manualLayout>
      </c:layout>
      <c:overlay val="0"/>
      <c:spPr>
        <a:solidFill>
          <a:schemeClr val="bg1"/>
        </a:solidFill>
        <a:ln>
          <a:solidFill>
            <a:schemeClr val="tx1"/>
          </a:solidFill>
        </a:ln>
      </c:spPr>
    </c:legend>
    <c:plotVisOnly val="1"/>
    <c:dispBlanksAs val="gap"/>
    <c:showDLblsOverMax val="0"/>
  </c:chart>
  <c:spPr>
    <a:ln>
      <a:noFill/>
    </a:ln>
  </c:spPr>
  <c:txPr>
    <a:bodyPr/>
    <a:lstStyle/>
    <a:p>
      <a:pPr>
        <a:defRPr sz="800"/>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5" Type="http://schemas.openxmlformats.org/officeDocument/2006/relationships/chart" Target="../charts/chart14.xml"/><Relationship Id="rId4"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 Id="rId5" Type="http://schemas.openxmlformats.org/officeDocument/2006/relationships/chart" Target="../charts/chart22.xml"/><Relationship Id="rId4" Type="http://schemas.openxmlformats.org/officeDocument/2006/relationships/chart" Target="../charts/chart21.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chart" Target="../charts/chart27.xml"/><Relationship Id="rId4" Type="http://schemas.openxmlformats.org/officeDocument/2006/relationships/chart" Target="../charts/chart2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 Id="rId5" Type="http://schemas.openxmlformats.org/officeDocument/2006/relationships/chart" Target="../charts/chart32.xml"/><Relationship Id="rId4" Type="http://schemas.openxmlformats.org/officeDocument/2006/relationships/chart" Target="../charts/chart31.xml"/></Relationships>
</file>

<file path=xl/drawings/drawing1.xml><?xml version="1.0" encoding="utf-8"?>
<xdr:wsDr xmlns:xdr="http://schemas.openxmlformats.org/drawingml/2006/spreadsheetDrawing" xmlns:a="http://schemas.openxmlformats.org/drawingml/2006/main">
  <xdr:twoCellAnchor editAs="oneCell">
    <xdr:from>
      <xdr:col>2</xdr:col>
      <xdr:colOff>145674</xdr:colOff>
      <xdr:row>47</xdr:row>
      <xdr:rowOff>66348</xdr:rowOff>
    </xdr:from>
    <xdr:to>
      <xdr:col>8</xdr:col>
      <xdr:colOff>1501588</xdr:colOff>
      <xdr:row>66</xdr:row>
      <xdr:rowOff>21872</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4998" y="8089760"/>
          <a:ext cx="6533032" cy="314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67235</xdr:colOff>
      <xdr:row>1</xdr:row>
      <xdr:rowOff>112059</xdr:rowOff>
    </xdr:from>
    <xdr:to>
      <xdr:col>8</xdr:col>
      <xdr:colOff>1454052</xdr:colOff>
      <xdr:row>47</xdr:row>
      <xdr:rowOff>0</xdr:rowOff>
    </xdr:to>
    <xdr:pic>
      <xdr:nvPicPr>
        <xdr:cNvPr id="7" name="図 6"/>
        <xdr:cNvPicPr>
          <a:picLocks noChangeAspect="1"/>
        </xdr:cNvPicPr>
      </xdr:nvPicPr>
      <xdr:blipFill>
        <a:blip xmlns:r="http://schemas.openxmlformats.org/officeDocument/2006/relationships" r:embed="rId2"/>
        <a:stretch>
          <a:fillRect/>
        </a:stretch>
      </xdr:blipFill>
      <xdr:spPr>
        <a:xfrm>
          <a:off x="1848970" y="403412"/>
          <a:ext cx="6563935" cy="762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143249</xdr:colOff>
      <xdr:row>50</xdr:row>
      <xdr:rowOff>49306</xdr:rowOff>
    </xdr:from>
    <xdr:to>
      <xdr:col>4</xdr:col>
      <xdr:colOff>558987</xdr:colOff>
      <xdr:row>61</xdr:row>
      <xdr:rowOff>39782</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8778</xdr:colOff>
      <xdr:row>50</xdr:row>
      <xdr:rowOff>71717</xdr:rowOff>
    </xdr:from>
    <xdr:to>
      <xdr:col>8</xdr:col>
      <xdr:colOff>525369</xdr:colOff>
      <xdr:row>61</xdr:row>
      <xdr:rowOff>103654</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55282</xdr:colOff>
      <xdr:row>61</xdr:row>
      <xdr:rowOff>89088</xdr:rowOff>
    </xdr:from>
    <xdr:to>
      <xdr:col>4</xdr:col>
      <xdr:colOff>601009</xdr:colOff>
      <xdr:row>72</xdr:row>
      <xdr:rowOff>89089</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504079</xdr:colOff>
      <xdr:row>50</xdr:row>
      <xdr:rowOff>47626</xdr:rowOff>
    </xdr:from>
    <xdr:to>
      <xdr:col>12</xdr:col>
      <xdr:colOff>511924</xdr:colOff>
      <xdr:row>61</xdr:row>
      <xdr:rowOff>66677</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647700</xdr:colOff>
      <xdr:row>61</xdr:row>
      <xdr:rowOff>99733</xdr:rowOff>
    </xdr:from>
    <xdr:to>
      <xdr:col>8</xdr:col>
      <xdr:colOff>472888</xdr:colOff>
      <xdr:row>72</xdr:row>
      <xdr:rowOff>124946</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603437</xdr:colOff>
      <xdr:row>61</xdr:row>
      <xdr:rowOff>123825</xdr:rowOff>
    </xdr:from>
    <xdr:to>
      <xdr:col>12</xdr:col>
      <xdr:colOff>461123</xdr:colOff>
      <xdr:row>72</xdr:row>
      <xdr:rowOff>152399</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0</xdr:col>
      <xdr:colOff>180975</xdr:colOff>
      <xdr:row>28</xdr:row>
      <xdr:rowOff>142875</xdr:rowOff>
    </xdr:from>
    <xdr:ext cx="2349618" cy="275717"/>
    <xdr:sp macro="" textlink="">
      <xdr:nvSpPr>
        <xdr:cNvPr id="2" name="テキスト ボックス 1"/>
        <xdr:cNvSpPr txBox="1"/>
      </xdr:nvSpPr>
      <xdr:spPr>
        <a:xfrm>
          <a:off x="180975" y="5143500"/>
          <a:ext cx="2349618" cy="275717"/>
        </a:xfrm>
        <a:prstGeom prst="rect">
          <a:avLst/>
        </a:prstGeom>
        <a:solidFill>
          <a:srgbClr val="99FFCC"/>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latin typeface="ＭＳ Ｐゴシック" panose="020B0600070205080204" pitchFamily="50" charset="-128"/>
              <a:ea typeface="ＭＳ Ｐゴシック" panose="020B0600070205080204" pitchFamily="50" charset="-128"/>
            </a:rPr>
            <a:t>a.</a:t>
          </a:r>
          <a:r>
            <a:rPr kumimoji="1" lang="ja-JP" altLang="en-US" sz="1100">
              <a:solidFill>
                <a:srgbClr val="FF0000"/>
              </a:solidFill>
              <a:latin typeface="ＭＳ Ｐゴシック" panose="020B0600070205080204" pitchFamily="50" charset="-128"/>
              <a:ea typeface="ＭＳ Ｐゴシック" panose="020B0600070205080204" pitchFamily="50" charset="-128"/>
            </a:rPr>
            <a:t>収量比数条件入力による自動計算</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590550</xdr:colOff>
      <xdr:row>28</xdr:row>
      <xdr:rowOff>142875</xdr:rowOff>
    </xdr:from>
    <xdr:ext cx="2319289" cy="275717"/>
    <xdr:sp macro="" textlink="">
      <xdr:nvSpPr>
        <xdr:cNvPr id="10" name="テキスト ボックス 9"/>
        <xdr:cNvSpPr txBox="1"/>
      </xdr:nvSpPr>
      <xdr:spPr>
        <a:xfrm>
          <a:off x="3733800" y="5143500"/>
          <a:ext cx="2319289" cy="275717"/>
        </a:xfrm>
        <a:prstGeom prst="rect">
          <a:avLst/>
        </a:prstGeom>
        <a:solidFill>
          <a:srgbClr val="66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latin typeface="ＭＳ Ｐゴシック" panose="020B0600070205080204" pitchFamily="50" charset="-128"/>
              <a:ea typeface="ＭＳ Ｐゴシック" panose="020B0600070205080204" pitchFamily="50" charset="-128"/>
            </a:rPr>
            <a:t>b.</a:t>
          </a:r>
          <a:r>
            <a:rPr kumimoji="1" lang="ja-JP" altLang="en-US" sz="1100">
              <a:solidFill>
                <a:srgbClr val="FF0000"/>
              </a:solidFill>
              <a:latin typeface="ＭＳ Ｐゴシック" panose="020B0600070205080204" pitchFamily="50" charset="-128"/>
              <a:ea typeface="ＭＳ Ｐゴシック" panose="020B0600070205080204" pitchFamily="50" charset="-128"/>
            </a:rPr>
            <a:t>間伐林齢と率入力による自動計算</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14</xdr:col>
      <xdr:colOff>238125</xdr:colOff>
      <xdr:row>2</xdr:row>
      <xdr:rowOff>142875</xdr:rowOff>
    </xdr:from>
    <xdr:to>
      <xdr:col>19</xdr:col>
      <xdr:colOff>428625</xdr:colOff>
      <xdr:row>15</xdr:row>
      <xdr:rowOff>47625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247650</xdr:colOff>
      <xdr:row>32</xdr:row>
      <xdr:rowOff>28575</xdr:rowOff>
    </xdr:from>
    <xdr:to>
      <xdr:col>13</xdr:col>
      <xdr:colOff>228600</xdr:colOff>
      <xdr:row>44</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285750</xdr:colOff>
      <xdr:row>32</xdr:row>
      <xdr:rowOff>47625</xdr:rowOff>
    </xdr:from>
    <xdr:to>
      <xdr:col>19</xdr:col>
      <xdr:colOff>361950</xdr:colOff>
      <xdr:row>44</xdr:row>
      <xdr:rowOff>104775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6</xdr:row>
      <xdr:rowOff>85725</xdr:rowOff>
    </xdr:from>
    <xdr:to>
      <xdr:col>19</xdr:col>
      <xdr:colOff>123824</xdr:colOff>
      <xdr:row>24</xdr:row>
      <xdr:rowOff>123825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28574</xdr:colOff>
      <xdr:row>25</xdr:row>
      <xdr:rowOff>95250</xdr:rowOff>
    </xdr:from>
    <xdr:to>
      <xdr:col>19</xdr:col>
      <xdr:colOff>85723</xdr:colOff>
      <xdr:row>43</xdr:row>
      <xdr:rowOff>95250</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333374</xdr:colOff>
      <xdr:row>6</xdr:row>
      <xdr:rowOff>0</xdr:rowOff>
    </xdr:from>
    <xdr:to>
      <xdr:col>25</xdr:col>
      <xdr:colOff>561973</xdr:colOff>
      <xdr:row>24</xdr:row>
      <xdr:rowOff>47625</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323850</xdr:colOff>
      <xdr:row>25</xdr:row>
      <xdr:rowOff>47625</xdr:rowOff>
    </xdr:from>
    <xdr:to>
      <xdr:col>25</xdr:col>
      <xdr:colOff>552449</xdr:colOff>
      <xdr:row>43</xdr:row>
      <xdr:rowOff>142875</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19050</xdr:colOff>
      <xdr:row>45</xdr:row>
      <xdr:rowOff>28575</xdr:rowOff>
    </xdr:from>
    <xdr:to>
      <xdr:col>19</xdr:col>
      <xdr:colOff>247649</xdr:colOff>
      <xdr:row>63</xdr:row>
      <xdr:rowOff>76200</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219075</xdr:colOff>
      <xdr:row>2</xdr:row>
      <xdr:rowOff>142874</xdr:rowOff>
    </xdr:from>
    <xdr:to>
      <xdr:col>19</xdr:col>
      <xdr:colOff>409575</xdr:colOff>
      <xdr:row>15</xdr:row>
      <xdr:rowOff>38099</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247650</xdr:colOff>
      <xdr:row>32</xdr:row>
      <xdr:rowOff>47625</xdr:rowOff>
    </xdr:from>
    <xdr:to>
      <xdr:col>13</xdr:col>
      <xdr:colOff>228600</xdr:colOff>
      <xdr:row>44</xdr:row>
      <xdr:rowOff>123825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295275</xdr:colOff>
      <xdr:row>32</xdr:row>
      <xdr:rowOff>47625</xdr:rowOff>
    </xdr:from>
    <xdr:to>
      <xdr:col>19</xdr:col>
      <xdr:colOff>371475</xdr:colOff>
      <xdr:row>44</xdr:row>
      <xdr:rowOff>123825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6</xdr:row>
      <xdr:rowOff>85725</xdr:rowOff>
    </xdr:from>
    <xdr:to>
      <xdr:col>19</xdr:col>
      <xdr:colOff>142874</xdr:colOff>
      <xdr:row>24</xdr:row>
      <xdr:rowOff>9525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28574</xdr:colOff>
      <xdr:row>24</xdr:row>
      <xdr:rowOff>152400</xdr:rowOff>
    </xdr:from>
    <xdr:to>
      <xdr:col>19</xdr:col>
      <xdr:colOff>104773</xdr:colOff>
      <xdr:row>42</xdr:row>
      <xdr:rowOff>76200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352424</xdr:colOff>
      <xdr:row>6</xdr:row>
      <xdr:rowOff>0</xdr:rowOff>
    </xdr:from>
    <xdr:to>
      <xdr:col>25</xdr:col>
      <xdr:colOff>600073</xdr:colOff>
      <xdr:row>23</xdr:row>
      <xdr:rowOff>107950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342900</xdr:colOff>
      <xdr:row>24</xdr:row>
      <xdr:rowOff>104775</xdr:rowOff>
    </xdr:from>
    <xdr:to>
      <xdr:col>25</xdr:col>
      <xdr:colOff>590549</xdr:colOff>
      <xdr:row>42</xdr:row>
      <xdr:rowOff>123825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19050</xdr:colOff>
      <xdr:row>43</xdr:row>
      <xdr:rowOff>149225</xdr:rowOff>
    </xdr:from>
    <xdr:to>
      <xdr:col>19</xdr:col>
      <xdr:colOff>95249</xdr:colOff>
      <xdr:row>61</xdr:row>
      <xdr:rowOff>92075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27</xdr:col>
      <xdr:colOff>276225</xdr:colOff>
      <xdr:row>3</xdr:row>
      <xdr:rowOff>0</xdr:rowOff>
    </xdr:from>
    <xdr:to>
      <xdr:col>33</xdr:col>
      <xdr:colOff>638174</xdr:colOff>
      <xdr:row>20</xdr:row>
      <xdr:rowOff>133350</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304799</xdr:colOff>
      <xdr:row>21</xdr:row>
      <xdr:rowOff>104775</xdr:rowOff>
    </xdr:from>
    <xdr:to>
      <xdr:col>33</xdr:col>
      <xdr:colOff>600073</xdr:colOff>
      <xdr:row>39</xdr:row>
      <xdr:rowOff>66675</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xdr:col>
      <xdr:colOff>161924</xdr:colOff>
      <xdr:row>2</xdr:row>
      <xdr:rowOff>85725</xdr:rowOff>
    </xdr:from>
    <xdr:to>
      <xdr:col>40</xdr:col>
      <xdr:colOff>390523</xdr:colOff>
      <xdr:row>20</xdr:row>
      <xdr:rowOff>57150</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152400</xdr:colOff>
      <xdr:row>21</xdr:row>
      <xdr:rowOff>57150</xdr:rowOff>
    </xdr:from>
    <xdr:to>
      <xdr:col>40</xdr:col>
      <xdr:colOff>380999</xdr:colOff>
      <xdr:row>39</xdr:row>
      <xdr:rowOff>114300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27</xdr:col>
      <xdr:colOff>295275</xdr:colOff>
      <xdr:row>41</xdr:row>
      <xdr:rowOff>0</xdr:rowOff>
    </xdr:from>
    <xdr:to>
      <xdr:col>34</xdr:col>
      <xdr:colOff>76199</xdr:colOff>
      <xdr:row>59</xdr:row>
      <xdr:rowOff>47625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23</xdr:col>
      <xdr:colOff>276225</xdr:colOff>
      <xdr:row>3</xdr:row>
      <xdr:rowOff>0</xdr:rowOff>
    </xdr:from>
    <xdr:to>
      <xdr:col>29</xdr:col>
      <xdr:colOff>638174</xdr:colOff>
      <xdr:row>20</xdr:row>
      <xdr:rowOff>133350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304799</xdr:colOff>
      <xdr:row>21</xdr:row>
      <xdr:rowOff>104775</xdr:rowOff>
    </xdr:from>
    <xdr:to>
      <xdr:col>29</xdr:col>
      <xdr:colOff>600073</xdr:colOff>
      <xdr:row>39</xdr:row>
      <xdr:rowOff>66675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30</xdr:col>
      <xdr:colOff>161924</xdr:colOff>
      <xdr:row>2</xdr:row>
      <xdr:rowOff>85725</xdr:rowOff>
    </xdr:from>
    <xdr:to>
      <xdr:col>36</xdr:col>
      <xdr:colOff>390523</xdr:colOff>
      <xdr:row>20</xdr:row>
      <xdr:rowOff>57150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30</xdr:col>
      <xdr:colOff>152400</xdr:colOff>
      <xdr:row>21</xdr:row>
      <xdr:rowOff>57150</xdr:rowOff>
    </xdr:from>
    <xdr:to>
      <xdr:col>36</xdr:col>
      <xdr:colOff>380999</xdr:colOff>
      <xdr:row>39</xdr:row>
      <xdr:rowOff>114300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295275</xdr:colOff>
      <xdr:row>40</xdr:row>
      <xdr:rowOff>142875</xdr:rowOff>
    </xdr:from>
    <xdr:to>
      <xdr:col>29</xdr:col>
      <xdr:colOff>590549</xdr:colOff>
      <xdr:row>58</xdr:row>
      <xdr:rowOff>142875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I120"/>
  <sheetViews>
    <sheetView showGridLines="0" tabSelected="1" view="pageBreakPreview" zoomScale="85" zoomScaleNormal="100" zoomScaleSheetLayoutView="85" workbookViewId="0">
      <selection activeCell="K1" sqref="K1"/>
    </sheetView>
  </sheetViews>
  <sheetFormatPr defaultRowHeight="13.5"/>
  <cols>
    <col min="1" max="1" width="2.75" style="250" customWidth="1"/>
    <col min="2" max="2" width="20.625" style="227" customWidth="1"/>
    <col min="3" max="8" width="11.375" customWidth="1"/>
    <col min="9" max="9" width="21.5" customWidth="1"/>
  </cols>
  <sheetData>
    <row r="1" spans="1:9" ht="22.5" customHeight="1">
      <c r="A1" s="424" t="s">
        <v>304</v>
      </c>
      <c r="B1" s="424"/>
      <c r="C1" s="424"/>
      <c r="D1" s="424"/>
      <c r="E1" s="424"/>
      <c r="F1" s="424"/>
      <c r="G1" s="424"/>
      <c r="H1" s="424"/>
      <c r="I1" s="424"/>
    </row>
    <row r="2" spans="1:9">
      <c r="B2" s="388"/>
    </row>
    <row r="3" spans="1:9">
      <c r="B3" s="388"/>
    </row>
    <row r="4" spans="1:9">
      <c r="B4" s="388"/>
    </row>
    <row r="5" spans="1:9">
      <c r="B5" s="388"/>
    </row>
    <row r="6" spans="1:9">
      <c r="B6" s="388"/>
    </row>
    <row r="7" spans="1:9">
      <c r="B7" s="388"/>
    </row>
    <row r="8" spans="1:9">
      <c r="A8" s="390" t="s">
        <v>266</v>
      </c>
      <c r="B8" s="391"/>
    </row>
    <row r="9" spans="1:9">
      <c r="A9" s="392"/>
      <c r="B9" s="391" t="s">
        <v>267</v>
      </c>
    </row>
    <row r="10" spans="1:9">
      <c r="A10" s="392"/>
      <c r="B10" s="391" t="s">
        <v>268</v>
      </c>
    </row>
    <row r="11" spans="1:9">
      <c r="B11" s="388"/>
    </row>
    <row r="12" spans="1:9">
      <c r="A12" s="389" t="s">
        <v>269</v>
      </c>
      <c r="B12" s="393"/>
    </row>
    <row r="13" spans="1:9">
      <c r="A13" s="250" t="s">
        <v>274</v>
      </c>
      <c r="B13" s="388" t="s">
        <v>270</v>
      </c>
    </row>
    <row r="14" spans="1:9">
      <c r="B14" s="388"/>
    </row>
    <row r="15" spans="1:9">
      <c r="A15" s="250" t="s">
        <v>271</v>
      </c>
      <c r="B15" s="388" t="s">
        <v>272</v>
      </c>
    </row>
    <row r="16" spans="1:9">
      <c r="B16" s="388" t="s">
        <v>275</v>
      </c>
    </row>
    <row r="17" spans="1:2">
      <c r="A17" s="410"/>
      <c r="B17" s="388" t="s">
        <v>307</v>
      </c>
    </row>
    <row r="18" spans="1:2">
      <c r="A18" s="410"/>
      <c r="B18" s="388" t="s">
        <v>308</v>
      </c>
    </row>
    <row r="19" spans="1:2">
      <c r="A19" s="416"/>
      <c r="B19" s="388" t="s">
        <v>318</v>
      </c>
    </row>
    <row r="20" spans="1:2">
      <c r="A20" s="416"/>
      <c r="B20" s="388" t="s">
        <v>319</v>
      </c>
    </row>
    <row r="21" spans="1:2">
      <c r="A21" s="416"/>
      <c r="B21" s="388" t="s">
        <v>320</v>
      </c>
    </row>
    <row r="22" spans="1:2">
      <c r="B22" s="388"/>
    </row>
    <row r="23" spans="1:2">
      <c r="A23" s="250" t="s">
        <v>273</v>
      </c>
      <c r="B23" s="388" t="s">
        <v>316</v>
      </c>
    </row>
    <row r="24" spans="1:2">
      <c r="B24" s="388" t="s">
        <v>317</v>
      </c>
    </row>
    <row r="25" spans="1:2">
      <c r="B25" s="388"/>
    </row>
    <row r="26" spans="1:2">
      <c r="A26" s="250" t="s">
        <v>276</v>
      </c>
      <c r="B26" s="388" t="s">
        <v>279</v>
      </c>
    </row>
    <row r="27" spans="1:2">
      <c r="B27" s="388" t="s">
        <v>290</v>
      </c>
    </row>
    <row r="28" spans="1:2">
      <c r="A28" s="387"/>
      <c r="B28" s="388" t="s">
        <v>291</v>
      </c>
    </row>
    <row r="29" spans="1:2">
      <c r="B29" s="388"/>
    </row>
    <row r="30" spans="1:2">
      <c r="A30" s="394" t="s">
        <v>277</v>
      </c>
      <c r="B30" s="393"/>
    </row>
    <row r="31" spans="1:2">
      <c r="A31" s="395"/>
      <c r="B31" s="388" t="s">
        <v>280</v>
      </c>
    </row>
    <row r="32" spans="1:2">
      <c r="A32" s="395"/>
      <c r="B32" s="388" t="s">
        <v>281</v>
      </c>
    </row>
    <row r="33" spans="1:2">
      <c r="A33" s="395"/>
      <c r="B33" s="388" t="s">
        <v>282</v>
      </c>
    </row>
    <row r="34" spans="1:2">
      <c r="A34" s="395"/>
      <c r="B34" s="388"/>
    </row>
    <row r="35" spans="1:2">
      <c r="A35" s="394" t="s">
        <v>278</v>
      </c>
      <c r="B35" s="393"/>
    </row>
    <row r="36" spans="1:2">
      <c r="B36" s="388" t="s">
        <v>283</v>
      </c>
    </row>
    <row r="37" spans="1:2">
      <c r="B37" s="388" t="s">
        <v>284</v>
      </c>
    </row>
    <row r="38" spans="1:2">
      <c r="B38" s="388"/>
    </row>
    <row r="39" spans="1:2">
      <c r="A39" s="250" t="s">
        <v>285</v>
      </c>
      <c r="B39" s="388" t="s">
        <v>286</v>
      </c>
    </row>
    <row r="40" spans="1:2">
      <c r="B40" s="393" t="s">
        <v>287</v>
      </c>
    </row>
    <row r="41" spans="1:2">
      <c r="B41" s="393"/>
    </row>
    <row r="42" spans="1:2">
      <c r="B42" s="388" t="s">
        <v>288</v>
      </c>
    </row>
    <row r="43" spans="1:2">
      <c r="B43" s="393" t="s">
        <v>289</v>
      </c>
    </row>
    <row r="44" spans="1:2">
      <c r="B44" s="388"/>
    </row>
    <row r="45" spans="1:2">
      <c r="B45" s="388"/>
    </row>
    <row r="46" spans="1:2">
      <c r="B46" s="388"/>
    </row>
    <row r="47" spans="1:2">
      <c r="B47" s="388"/>
    </row>
    <row r="48" spans="1:2">
      <c r="B48" s="388"/>
    </row>
    <row r="49" spans="2:2">
      <c r="B49" s="388"/>
    </row>
    <row r="50" spans="2:2">
      <c r="B50" s="388"/>
    </row>
    <row r="51" spans="2:2">
      <c r="B51" s="388"/>
    </row>
    <row r="52" spans="2:2">
      <c r="B52" s="388"/>
    </row>
    <row r="53" spans="2:2">
      <c r="B53" s="388"/>
    </row>
    <row r="54" spans="2:2">
      <c r="B54" s="388"/>
    </row>
    <row r="55" spans="2:2">
      <c r="B55" s="388"/>
    </row>
    <row r="56" spans="2:2">
      <c r="B56" s="388"/>
    </row>
    <row r="57" spans="2:2">
      <c r="B57" s="388"/>
    </row>
    <row r="58" spans="2:2">
      <c r="B58" s="388"/>
    </row>
    <row r="59" spans="2:2">
      <c r="B59" s="388"/>
    </row>
    <row r="60" spans="2:2">
      <c r="B60" s="388"/>
    </row>
    <row r="61" spans="2:2">
      <c r="B61" s="388"/>
    </row>
    <row r="62" spans="2:2">
      <c r="B62" s="388"/>
    </row>
    <row r="63" spans="2:2">
      <c r="B63" s="388"/>
    </row>
    <row r="64" spans="2:2">
      <c r="B64" s="388"/>
    </row>
    <row r="65" spans="1:9">
      <c r="B65" s="388"/>
    </row>
    <row r="66" spans="1:9">
      <c r="B66" s="388"/>
    </row>
    <row r="67" spans="1:9">
      <c r="B67" s="388"/>
      <c r="C67" s="193"/>
    </row>
    <row r="68" spans="1:9" ht="18" customHeight="1">
      <c r="B68" s="388"/>
      <c r="C68" s="405"/>
      <c r="D68" s="406"/>
      <c r="E68" s="401"/>
      <c r="F68" s="401"/>
      <c r="G68" s="401"/>
      <c r="H68" s="401"/>
      <c r="I68" s="401"/>
    </row>
    <row r="69" spans="1:9" ht="18" customHeight="1">
      <c r="B69" s="388"/>
      <c r="C69" s="405"/>
      <c r="D69" s="406"/>
      <c r="E69" s="401"/>
      <c r="F69" s="401"/>
      <c r="G69" s="401"/>
      <c r="H69" s="401"/>
      <c r="I69" s="401"/>
    </row>
    <row r="70" spans="1:9" ht="18" customHeight="1">
      <c r="B70" s="388"/>
      <c r="C70" s="405"/>
      <c r="D70" s="406"/>
      <c r="E70" s="401"/>
      <c r="F70" s="401"/>
      <c r="G70" s="401"/>
      <c r="H70" s="401"/>
      <c r="I70" s="401"/>
    </row>
    <row r="71" spans="1:9" ht="18" customHeight="1">
      <c r="B71" s="388"/>
      <c r="C71" s="405"/>
      <c r="D71" s="406"/>
      <c r="E71" s="401"/>
      <c r="F71" s="401"/>
      <c r="G71" s="401"/>
      <c r="H71" s="401"/>
      <c r="I71" s="401"/>
    </row>
    <row r="72" spans="1:9" ht="18" customHeight="1">
      <c r="B72" s="397"/>
      <c r="C72" s="405"/>
      <c r="D72" s="406"/>
      <c r="E72" s="401"/>
      <c r="F72" s="401"/>
      <c r="G72" s="401"/>
      <c r="H72" s="401"/>
      <c r="I72" s="401"/>
    </row>
    <row r="73" spans="1:9" ht="18" customHeight="1">
      <c r="A73" s="403" t="s">
        <v>293</v>
      </c>
      <c r="B73" s="404"/>
      <c r="C73" s="405"/>
      <c r="D73" s="406"/>
      <c r="E73" s="401"/>
      <c r="F73" s="401"/>
      <c r="G73" s="401"/>
      <c r="H73" s="401"/>
      <c r="I73" s="401"/>
    </row>
    <row r="74" spans="1:9" ht="18" customHeight="1">
      <c r="A74" s="407"/>
      <c r="B74" s="403" t="s">
        <v>295</v>
      </c>
      <c r="C74" s="405"/>
      <c r="D74" s="406"/>
      <c r="E74" s="401"/>
      <c r="F74" s="401"/>
      <c r="G74" s="401"/>
      <c r="H74" s="401"/>
      <c r="I74" s="401"/>
    </row>
    <row r="75" spans="1:9" ht="18" customHeight="1">
      <c r="A75" s="407"/>
      <c r="B75" s="403"/>
      <c r="C75" s="405"/>
      <c r="D75" s="406"/>
      <c r="E75" s="401"/>
      <c r="F75" s="401"/>
      <c r="G75" s="401"/>
      <c r="H75" s="401"/>
      <c r="I75" s="401"/>
    </row>
    <row r="76" spans="1:9" ht="18" customHeight="1">
      <c r="A76" s="408" t="s">
        <v>300</v>
      </c>
      <c r="B76" s="403"/>
      <c r="C76" s="406"/>
      <c r="D76" s="406"/>
      <c r="E76" s="401"/>
      <c r="F76" s="401"/>
      <c r="G76" s="401"/>
      <c r="H76" s="401"/>
      <c r="I76" s="401"/>
    </row>
    <row r="77" spans="1:9" ht="18" customHeight="1">
      <c r="A77" s="407"/>
      <c r="B77" s="403" t="s">
        <v>292</v>
      </c>
      <c r="C77" s="406"/>
      <c r="D77" s="406"/>
      <c r="E77" s="401"/>
      <c r="F77" s="401"/>
      <c r="G77" s="401"/>
      <c r="H77" s="401"/>
      <c r="I77" s="401"/>
    </row>
    <row r="78" spans="1:9" ht="18" customHeight="1">
      <c r="A78" s="407"/>
      <c r="B78" s="403" t="s">
        <v>301</v>
      </c>
      <c r="C78" s="406"/>
      <c r="D78" s="406"/>
      <c r="E78" s="401"/>
      <c r="F78" s="401"/>
      <c r="G78" s="401"/>
      <c r="H78" s="401"/>
      <c r="I78" s="401"/>
    </row>
    <row r="79" spans="1:9" ht="18" customHeight="1">
      <c r="A79" s="407"/>
      <c r="B79" s="403" t="s">
        <v>302</v>
      </c>
      <c r="C79" s="406"/>
      <c r="D79" s="406"/>
      <c r="E79" s="401"/>
      <c r="F79" s="401"/>
      <c r="G79" s="401"/>
      <c r="H79" s="401"/>
      <c r="I79" s="401"/>
    </row>
    <row r="80" spans="1:9" ht="18" customHeight="1">
      <c r="A80" s="407"/>
      <c r="B80" s="403"/>
      <c r="C80" s="406"/>
      <c r="D80" s="406"/>
      <c r="E80" s="401"/>
      <c r="F80" s="401"/>
      <c r="G80" s="401"/>
      <c r="H80" s="401"/>
      <c r="I80" s="401"/>
    </row>
    <row r="81" spans="1:9" ht="18" customHeight="1">
      <c r="A81" s="406" t="s">
        <v>294</v>
      </c>
      <c r="B81" s="404"/>
      <c r="C81" s="406"/>
      <c r="D81" s="406"/>
      <c r="E81" s="401"/>
      <c r="F81" s="401"/>
      <c r="G81" s="401"/>
      <c r="H81" s="401"/>
      <c r="I81" s="401"/>
    </row>
    <row r="82" spans="1:9" ht="14.25">
      <c r="A82" s="407"/>
      <c r="B82" s="406" t="s">
        <v>309</v>
      </c>
      <c r="C82" s="406"/>
      <c r="D82" s="406"/>
      <c r="E82" s="401"/>
      <c r="F82" s="401"/>
      <c r="G82" s="401"/>
      <c r="H82" s="401"/>
      <c r="I82" s="401"/>
    </row>
    <row r="83" spans="1:9" ht="14.25">
      <c r="A83" s="407"/>
      <c r="B83" s="409" t="s">
        <v>297</v>
      </c>
      <c r="C83" s="406"/>
      <c r="D83" s="406"/>
      <c r="E83" s="401"/>
      <c r="F83" s="401"/>
      <c r="G83" s="401"/>
      <c r="H83" s="401"/>
      <c r="I83" s="401"/>
    </row>
    <row r="84" spans="1:9" ht="14.25">
      <c r="A84" s="407"/>
      <c r="B84" s="409" t="s">
        <v>296</v>
      </c>
      <c r="C84" s="401"/>
      <c r="D84" s="401"/>
      <c r="E84" s="401"/>
      <c r="F84" s="401"/>
      <c r="G84" s="401"/>
      <c r="H84" s="401"/>
      <c r="I84" s="401"/>
    </row>
    <row r="85" spans="1:9" ht="14.25">
      <c r="A85" s="407"/>
      <c r="B85" s="406" t="s">
        <v>298</v>
      </c>
      <c r="C85" s="401"/>
      <c r="D85" s="401"/>
      <c r="E85" s="401"/>
      <c r="F85" s="401"/>
      <c r="G85" s="401"/>
      <c r="H85" s="401"/>
      <c r="I85" s="401"/>
    </row>
    <row r="86" spans="1:9" ht="14.25">
      <c r="A86" s="407"/>
      <c r="B86" s="406" t="s">
        <v>299</v>
      </c>
      <c r="C86" s="401"/>
      <c r="D86" s="401"/>
      <c r="E86" s="401"/>
      <c r="F86" s="401"/>
      <c r="G86" s="401"/>
      <c r="H86" s="401"/>
      <c r="I86" s="401"/>
    </row>
    <row r="87" spans="1:9" ht="14.25">
      <c r="A87" s="407"/>
      <c r="B87" s="406"/>
      <c r="C87" s="401"/>
      <c r="D87" s="401"/>
      <c r="E87" s="401"/>
      <c r="F87" s="401"/>
      <c r="G87" s="401"/>
      <c r="H87" s="401"/>
      <c r="I87" s="401"/>
    </row>
    <row r="88" spans="1:9" ht="14.25">
      <c r="A88" s="407"/>
      <c r="B88" s="406"/>
      <c r="C88" s="401"/>
      <c r="D88" s="401"/>
      <c r="E88" s="401"/>
      <c r="F88" s="401"/>
      <c r="G88" s="401"/>
      <c r="H88" s="401"/>
      <c r="I88" s="401"/>
    </row>
    <row r="89" spans="1:9">
      <c r="A89" s="400"/>
      <c r="B89" s="402"/>
      <c r="C89" s="401"/>
      <c r="D89" s="401"/>
      <c r="E89" s="401"/>
      <c r="F89" s="401"/>
      <c r="G89" s="401"/>
      <c r="H89" s="401"/>
      <c r="I89" s="401"/>
    </row>
    <row r="90" spans="1:9">
      <c r="A90" s="400"/>
      <c r="B90" s="402"/>
      <c r="C90" s="401"/>
      <c r="D90" s="401"/>
      <c r="E90" s="401"/>
      <c r="F90" s="401"/>
      <c r="G90" s="401"/>
      <c r="H90" s="401"/>
      <c r="I90" s="401"/>
    </row>
    <row r="91" spans="1:9">
      <c r="A91" s="400"/>
      <c r="B91" s="402"/>
      <c r="C91" s="401"/>
      <c r="D91" s="401"/>
      <c r="E91" s="401"/>
      <c r="F91" s="401"/>
      <c r="G91" s="401"/>
      <c r="H91" s="401"/>
      <c r="I91" s="401"/>
    </row>
    <row r="92" spans="1:9">
      <c r="A92" s="400"/>
      <c r="B92" s="402"/>
      <c r="C92" s="401"/>
      <c r="D92" s="401"/>
      <c r="E92" s="401"/>
      <c r="F92" s="401"/>
      <c r="G92" s="401"/>
      <c r="H92" s="401"/>
      <c r="I92" s="401"/>
    </row>
    <row r="93" spans="1:9">
      <c r="A93" s="400"/>
      <c r="B93" s="402"/>
      <c r="C93" s="401"/>
      <c r="D93" s="401"/>
      <c r="E93" s="401"/>
      <c r="F93" s="401"/>
      <c r="G93" s="401"/>
      <c r="H93" s="401"/>
      <c r="I93" s="401"/>
    </row>
    <row r="94" spans="1:9">
      <c r="A94" s="400"/>
      <c r="B94" s="402"/>
      <c r="C94" s="401"/>
      <c r="D94" s="401"/>
      <c r="E94" s="401"/>
      <c r="F94" s="401"/>
      <c r="G94" s="401"/>
      <c r="H94" s="401"/>
      <c r="I94" s="401"/>
    </row>
    <row r="95" spans="1:9">
      <c r="A95" s="400"/>
      <c r="B95" s="402"/>
      <c r="C95" s="401"/>
      <c r="D95" s="401"/>
      <c r="E95" s="401"/>
      <c r="F95" s="401"/>
      <c r="G95" s="401"/>
      <c r="H95" s="401"/>
      <c r="I95" s="401"/>
    </row>
    <row r="96" spans="1:9">
      <c r="A96" s="400"/>
      <c r="B96" s="402"/>
      <c r="C96" s="401"/>
      <c r="D96" s="401"/>
      <c r="E96" s="401"/>
      <c r="F96" s="401"/>
      <c r="G96" s="401"/>
      <c r="H96" s="401"/>
      <c r="I96" s="401"/>
    </row>
    <row r="97" spans="1:9">
      <c r="A97" s="400"/>
      <c r="B97" s="402"/>
      <c r="C97" s="401"/>
      <c r="D97" s="401"/>
      <c r="E97" s="401"/>
      <c r="F97" s="401"/>
      <c r="G97" s="401"/>
      <c r="H97" s="401"/>
      <c r="I97" s="401"/>
    </row>
    <row r="98" spans="1:9">
      <c r="A98" s="400"/>
      <c r="B98" s="402"/>
      <c r="C98" s="401"/>
      <c r="D98" s="401"/>
      <c r="E98" s="398"/>
      <c r="F98" s="398"/>
      <c r="G98" s="398"/>
      <c r="H98" s="398"/>
      <c r="I98" s="398"/>
    </row>
    <row r="99" spans="1:9">
      <c r="A99" s="400"/>
      <c r="B99" s="402"/>
      <c r="C99" s="401"/>
      <c r="D99" s="401"/>
      <c r="E99" s="398"/>
      <c r="F99" s="398"/>
      <c r="G99" s="398"/>
      <c r="H99" s="398"/>
      <c r="I99" s="398"/>
    </row>
    <row r="100" spans="1:9">
      <c r="A100" s="400"/>
      <c r="B100" s="402"/>
      <c r="C100" s="398"/>
      <c r="D100" s="398"/>
      <c r="E100" s="398"/>
      <c r="F100" s="398"/>
      <c r="G100" s="398"/>
      <c r="H100" s="398"/>
      <c r="I100" s="398"/>
    </row>
    <row r="101" spans="1:9">
      <c r="A101" s="400"/>
      <c r="B101" s="402"/>
      <c r="C101" s="398"/>
      <c r="D101" s="398"/>
      <c r="E101" s="398"/>
      <c r="F101" s="398"/>
      <c r="G101" s="398"/>
      <c r="H101" s="398"/>
      <c r="I101" s="398"/>
    </row>
    <row r="102" spans="1:9">
      <c r="A102" s="400"/>
      <c r="B102" s="402"/>
      <c r="C102" s="398"/>
      <c r="D102" s="398"/>
      <c r="E102" s="398"/>
      <c r="F102" s="398"/>
      <c r="G102" s="398"/>
      <c r="H102" s="398"/>
      <c r="I102" s="398"/>
    </row>
    <row r="103" spans="1:9">
      <c r="A103" s="400"/>
      <c r="B103" s="402"/>
      <c r="C103" s="398"/>
      <c r="D103" s="398"/>
      <c r="E103" s="398"/>
      <c r="F103" s="398"/>
      <c r="G103" s="398"/>
      <c r="H103" s="398"/>
      <c r="I103" s="398"/>
    </row>
    <row r="104" spans="1:9">
      <c r="A104" s="400"/>
      <c r="B104" s="402"/>
      <c r="C104" s="398"/>
      <c r="D104" s="398"/>
      <c r="E104" s="398"/>
      <c r="F104" s="398"/>
      <c r="G104" s="398"/>
      <c r="H104" s="398"/>
      <c r="I104" s="398"/>
    </row>
    <row r="105" spans="1:9">
      <c r="B105" s="399"/>
      <c r="C105" s="398"/>
      <c r="D105" s="398"/>
      <c r="E105" s="398"/>
      <c r="F105" s="398"/>
      <c r="G105" s="398"/>
      <c r="H105" s="398"/>
      <c r="I105" s="398"/>
    </row>
    <row r="106" spans="1:9">
      <c r="B106" s="399"/>
      <c r="C106" s="398"/>
      <c r="D106" s="398"/>
      <c r="E106" s="398"/>
      <c r="F106" s="398"/>
      <c r="G106" s="398"/>
      <c r="H106" s="398"/>
      <c r="I106" s="398"/>
    </row>
    <row r="107" spans="1:9">
      <c r="B107" s="399"/>
      <c r="C107" s="398"/>
      <c r="D107" s="398"/>
      <c r="E107" s="398"/>
      <c r="F107" s="398"/>
      <c r="G107" s="398"/>
      <c r="H107" s="398"/>
      <c r="I107" s="398"/>
    </row>
    <row r="108" spans="1:9">
      <c r="B108" s="399"/>
      <c r="C108" s="398"/>
      <c r="D108" s="398"/>
      <c r="E108" s="398"/>
      <c r="F108" s="398"/>
      <c r="G108" s="398"/>
      <c r="H108" s="398"/>
      <c r="I108" s="398"/>
    </row>
    <row r="109" spans="1:9">
      <c r="B109" s="399"/>
      <c r="C109" s="398"/>
      <c r="D109" s="398"/>
      <c r="E109" s="398"/>
      <c r="F109" s="398"/>
      <c r="G109" s="398"/>
      <c r="H109" s="398"/>
      <c r="I109" s="398"/>
    </row>
    <row r="110" spans="1:9">
      <c r="B110" s="399"/>
      <c r="C110" s="398"/>
      <c r="D110" s="398"/>
      <c r="E110" s="398"/>
      <c r="F110" s="398"/>
      <c r="G110" s="398"/>
      <c r="H110" s="398"/>
      <c r="I110" s="398"/>
    </row>
    <row r="111" spans="1:9">
      <c r="B111" s="399"/>
      <c r="C111" s="398"/>
      <c r="D111" s="398"/>
      <c r="E111" s="398"/>
      <c r="F111" s="398"/>
      <c r="G111" s="398"/>
      <c r="H111" s="398"/>
      <c r="I111" s="398"/>
    </row>
    <row r="112" spans="1:9">
      <c r="B112" s="399"/>
      <c r="C112" s="398"/>
      <c r="D112" s="398"/>
      <c r="E112" s="398"/>
      <c r="F112" s="398"/>
      <c r="G112" s="398"/>
      <c r="H112" s="398"/>
      <c r="I112" s="398"/>
    </row>
    <row r="113" spans="2:9">
      <c r="B113" s="399"/>
      <c r="C113" s="398"/>
      <c r="D113" s="398"/>
      <c r="E113" s="398"/>
      <c r="F113" s="398"/>
      <c r="G113" s="398"/>
      <c r="H113" s="398"/>
      <c r="I113" s="398"/>
    </row>
    <row r="114" spans="2:9">
      <c r="B114" s="399"/>
      <c r="C114" s="398"/>
      <c r="D114" s="398"/>
    </row>
    <row r="115" spans="2:9">
      <c r="B115" s="399"/>
      <c r="C115" s="398"/>
      <c r="D115" s="398"/>
    </row>
    <row r="116" spans="2:9">
      <c r="B116" s="399"/>
    </row>
    <row r="117" spans="2:9">
      <c r="B117" s="399"/>
    </row>
    <row r="118" spans="2:9">
      <c r="B118" s="399"/>
    </row>
    <row r="119" spans="2:9">
      <c r="B119" s="399"/>
    </row>
    <row r="120" spans="2:9">
      <c r="B120" s="399"/>
    </row>
  </sheetData>
  <sheetProtection password="F089" sheet="1" objects="1" scenarios="1" selectLockedCells="1" selectUnlockedCells="1"/>
  <mergeCells count="1">
    <mergeCell ref="A1:I1"/>
  </mergeCells>
  <phoneticPr fontId="1"/>
  <pageMargins left="0.25" right="0.25" top="0.75" bottom="0.75" header="0.3" footer="0.3"/>
  <pageSetup paperSize="9" scale="8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2:R142"/>
  <sheetViews>
    <sheetView zoomScaleNormal="100" workbookViewId="0">
      <selection activeCell="Q38" sqref="Q38"/>
    </sheetView>
  </sheetViews>
  <sheetFormatPr defaultRowHeight="13.5"/>
  <cols>
    <col min="1" max="1" width="8.25" style="35" customWidth="1"/>
    <col min="2" max="2" width="15" style="36" bestFit="1" customWidth="1"/>
    <col min="3" max="9" width="15" style="36" customWidth="1"/>
    <col min="10" max="10" width="14.625" style="36" customWidth="1"/>
    <col min="11" max="15" width="14.625" style="35" customWidth="1"/>
    <col min="16" max="16" width="14.625" style="37" customWidth="1"/>
    <col min="17" max="17" width="14.625" style="35" customWidth="1"/>
    <col min="18" max="18" width="16.125" style="36" bestFit="1" customWidth="1"/>
    <col min="19" max="16384" width="9" style="37"/>
  </cols>
  <sheetData>
    <row r="2" spans="1:18" s="35" customFormat="1" ht="14.25" thickBot="1">
      <c r="B2" s="36" t="s">
        <v>33</v>
      </c>
      <c r="C2" s="36"/>
      <c r="D2" s="115" t="s">
        <v>101</v>
      </c>
      <c r="E2" s="116" t="s">
        <v>102</v>
      </c>
      <c r="F2" s="116" t="s">
        <v>103</v>
      </c>
      <c r="G2" s="116" t="s">
        <v>107</v>
      </c>
      <c r="H2" s="116" t="s">
        <v>104</v>
      </c>
      <c r="I2" s="116" t="s">
        <v>105</v>
      </c>
      <c r="J2" s="117" t="s">
        <v>106</v>
      </c>
      <c r="K2" s="36"/>
    </row>
    <row r="3" spans="1:18">
      <c r="A3" s="35" t="s">
        <v>34</v>
      </c>
      <c r="B3" s="36">
        <f>直径材積計算!AB2</f>
        <v>4.9860873150374303E-2</v>
      </c>
      <c r="D3" s="127">
        <v>1</v>
      </c>
      <c r="E3" s="124">
        <f>B4/(B4-B6)</f>
        <v>-0.97019933697813232</v>
      </c>
      <c r="F3" s="119">
        <f>($B$8*D3/$B$3)*((1-$B$8*D3)/($B$8*D3)*$B$3/$B$5)^($B$4/($B$4-$B$6))</f>
        <v>1494197.358768913</v>
      </c>
      <c r="G3" s="119">
        <f>LOG(F3)</f>
        <v>6.1744079643893448</v>
      </c>
      <c r="H3" s="119">
        <f>B6-B4</f>
        <v>-1.34719415347974</v>
      </c>
      <c r="I3" s="119">
        <f t="shared" ref="I3:I11" si="0">$B$8*D3/(1-$B$8*D3)*$B$5/$B$3</f>
        <v>142872.82059004548</v>
      </c>
      <c r="J3" s="120">
        <f>LOG(I3)</f>
        <v>5.154949618640881</v>
      </c>
      <c r="K3" s="36"/>
      <c r="L3" s="37"/>
      <c r="M3" s="37"/>
      <c r="N3" s="37"/>
      <c r="O3" s="37"/>
      <c r="Q3" s="37"/>
      <c r="R3" s="37"/>
    </row>
    <row r="4" spans="1:18">
      <c r="A4" s="35" t="s">
        <v>35</v>
      </c>
      <c r="B4" s="36">
        <f>直径材積計算!AB3</f>
        <v>-1.30704687448686</v>
      </c>
      <c r="D4" s="128">
        <v>0.95</v>
      </c>
      <c r="E4" s="125">
        <f>E3</f>
        <v>-0.97019933697813232</v>
      </c>
      <c r="F4" s="118">
        <f>($B$8*D4/$B$3)*((1-$B$8*D4)/($B$8*D4)*$B$3/$B$5)^($B$4/($B$4-$B$6))</f>
        <v>1184955.2892592293</v>
      </c>
      <c r="G4" s="118">
        <f t="shared" ref="G4:G18" si="1">LOG(F4)</f>
        <v>6.0737019638530194</v>
      </c>
      <c r="H4" s="118">
        <f>H3</f>
        <v>-1.34719415347974</v>
      </c>
      <c r="I4" s="118">
        <f t="shared" si="0"/>
        <v>118607.17649118116</v>
      </c>
      <c r="J4" s="121">
        <f>J3</f>
        <v>5.154949618640881</v>
      </c>
      <c r="K4" s="36"/>
      <c r="L4" s="37"/>
      <c r="M4" s="37"/>
      <c r="N4" s="37"/>
      <c r="O4" s="37"/>
      <c r="Q4" s="37"/>
      <c r="R4" s="37"/>
    </row>
    <row r="5" spans="1:18">
      <c r="A5" s="35" t="s">
        <v>36</v>
      </c>
      <c r="B5" s="38">
        <f>直径材積計算!AB4</f>
        <v>2467.3791999544601</v>
      </c>
      <c r="C5" s="38"/>
      <c r="D5" s="128">
        <v>0.9</v>
      </c>
      <c r="E5" s="125">
        <f t="shared" ref="E5:E18" si="2">E4</f>
        <v>-0.97019933697813232</v>
      </c>
      <c r="F5" s="118">
        <f t="shared" ref="F5:F16" si="3">($B$8*D5/$B$3)*((1-$B$8*D5)/($B$8*D5)*$B$3/$B$5)^($B$4/($B$4-$B$6))</f>
        <v>949252.01459015033</v>
      </c>
      <c r="G5" s="118">
        <f t="shared" si="1"/>
        <v>5.9773815275126063</v>
      </c>
      <c r="H5" s="118">
        <f t="shared" ref="H5:H18" si="4">H4</f>
        <v>-1.34719415347974</v>
      </c>
      <c r="I5" s="118">
        <f t="shared" si="0"/>
        <v>99777.884608796492</v>
      </c>
      <c r="J5" s="121">
        <f t="shared" ref="J5:J18" si="5">J4</f>
        <v>5.154949618640881</v>
      </c>
      <c r="K5" s="38"/>
      <c r="L5" s="37"/>
      <c r="M5" s="37"/>
      <c r="N5" s="37"/>
      <c r="O5" s="37"/>
      <c r="Q5" s="37"/>
      <c r="R5" s="37"/>
    </row>
    <row r="6" spans="1:18">
      <c r="A6" s="35" t="s">
        <v>37</v>
      </c>
      <c r="B6" s="36">
        <f>直径材積計算!AB5</f>
        <v>-2.6542410279666</v>
      </c>
      <c r="D6" s="128">
        <v>0.85</v>
      </c>
      <c r="E6" s="125">
        <f t="shared" si="2"/>
        <v>-0.97019933697813232</v>
      </c>
      <c r="F6" s="118">
        <f>($B$8*D6/$B$3)*((1-$B$8*D6)/($B$8*D6)*$B$3/$B$5)^($B$4/($B$4-$B$6))</f>
        <v>765132.52711426618</v>
      </c>
      <c r="G6" s="118">
        <f t="shared" si="1"/>
        <v>5.8837366649700584</v>
      </c>
      <c r="H6" s="118">
        <f t="shared" si="4"/>
        <v>-1.34719415347974</v>
      </c>
      <c r="I6" s="118">
        <f t="shared" si="0"/>
        <v>84742.075705244803</v>
      </c>
      <c r="J6" s="121">
        <f t="shared" si="5"/>
        <v>5.154949618640881</v>
      </c>
      <c r="K6" s="36"/>
      <c r="L6" s="37"/>
      <c r="M6" s="37"/>
      <c r="N6" s="37"/>
      <c r="O6" s="37"/>
      <c r="Q6" s="37"/>
      <c r="R6" s="37"/>
    </row>
    <row r="7" spans="1:18">
      <c r="A7" s="35" t="s">
        <v>38</v>
      </c>
      <c r="B7" s="36">
        <f>直径材積計算!AB19</f>
        <v>0.25725601792339137</v>
      </c>
      <c r="D7" s="128">
        <v>0.8</v>
      </c>
      <c r="E7" s="125">
        <f>E6</f>
        <v>-0.97019933697813232</v>
      </c>
      <c r="F7" s="118">
        <f t="shared" si="3"/>
        <v>618619.14916627284</v>
      </c>
      <c r="G7" s="118">
        <f t="shared" si="1"/>
        <v>5.7914233593278919</v>
      </c>
      <c r="H7" s="118">
        <f t="shared" si="4"/>
        <v>-1.34719415347974</v>
      </c>
      <c r="I7" s="118">
        <f t="shared" si="0"/>
        <v>72458.268794810341</v>
      </c>
      <c r="J7" s="121">
        <f t="shared" si="5"/>
        <v>5.154949618640881</v>
      </c>
      <c r="K7" s="36"/>
      <c r="L7" s="37"/>
      <c r="M7" s="37"/>
      <c r="N7" s="37"/>
      <c r="O7" s="37"/>
      <c r="Q7" s="37"/>
      <c r="R7" s="37"/>
    </row>
    <row r="8" spans="1:18">
      <c r="A8" s="35" t="s">
        <v>39</v>
      </c>
      <c r="B8" s="36">
        <f>直径材積計算!AB20</f>
        <v>0.74274398207660863</v>
      </c>
      <c r="D8" s="128">
        <v>0.75</v>
      </c>
      <c r="E8" s="125">
        <f t="shared" si="2"/>
        <v>-0.97019933697813232</v>
      </c>
      <c r="F8" s="118">
        <f t="shared" si="3"/>
        <v>500385.61475938023</v>
      </c>
      <c r="G8" s="118">
        <f t="shared" si="1"/>
        <v>5.6993048159685795</v>
      </c>
      <c r="H8" s="118">
        <f t="shared" si="4"/>
        <v>-1.34719415347974</v>
      </c>
      <c r="I8" s="118">
        <f t="shared" si="0"/>
        <v>62234.262802515645</v>
      </c>
      <c r="J8" s="121">
        <f t="shared" si="5"/>
        <v>5.154949618640881</v>
      </c>
      <c r="K8" s="36"/>
      <c r="L8" s="37"/>
      <c r="M8" s="37"/>
      <c r="N8" s="37"/>
      <c r="O8" s="37"/>
      <c r="Q8" s="37"/>
      <c r="R8" s="37"/>
    </row>
    <row r="9" spans="1:18">
      <c r="D9" s="128">
        <v>0.7</v>
      </c>
      <c r="E9" s="125">
        <f t="shared" si="2"/>
        <v>-0.97019933697813232</v>
      </c>
      <c r="F9" s="118">
        <f t="shared" si="3"/>
        <v>403968.29184964509</v>
      </c>
      <c r="G9" s="118">
        <f t="shared" si="1"/>
        <v>5.6063472779443719</v>
      </c>
      <c r="H9" s="118">
        <f t="shared" si="4"/>
        <v>-1.34719415347974</v>
      </c>
      <c r="I9" s="118">
        <f t="shared" si="0"/>
        <v>53592.041383482057</v>
      </c>
      <c r="J9" s="121">
        <f t="shared" si="5"/>
        <v>5.154949618640881</v>
      </c>
      <c r="K9" s="36"/>
      <c r="L9" s="36"/>
      <c r="M9" s="36"/>
      <c r="N9" s="36"/>
      <c r="O9" s="36"/>
    </row>
    <row r="10" spans="1:18">
      <c r="A10" s="206" t="s">
        <v>174</v>
      </c>
      <c r="B10" s="207">
        <f>B6/(B4-B6)</f>
        <v>-1.9701993369781323</v>
      </c>
      <c r="D10" s="128">
        <v>0.64999999999999991</v>
      </c>
      <c r="E10" s="125">
        <f t="shared" si="2"/>
        <v>-0.97019933697813232</v>
      </c>
      <c r="F10" s="118">
        <f t="shared" si="3"/>
        <v>324744.62533773429</v>
      </c>
      <c r="G10" s="118">
        <f t="shared" si="1"/>
        <v>5.5115419720453582</v>
      </c>
      <c r="H10" s="118">
        <f t="shared" si="4"/>
        <v>-1.34719415347974</v>
      </c>
      <c r="I10" s="118">
        <f t="shared" si="0"/>
        <v>46190.87840849143</v>
      </c>
      <c r="J10" s="121">
        <f t="shared" si="5"/>
        <v>5.154949618640881</v>
      </c>
      <c r="K10" s="36"/>
      <c r="L10" s="36"/>
      <c r="M10" s="36"/>
      <c r="N10" s="36"/>
      <c r="O10" s="36"/>
    </row>
    <row r="11" spans="1:18">
      <c r="A11" s="206" t="s">
        <v>175</v>
      </c>
      <c r="B11" s="207">
        <f>B4/(B4-B6)</f>
        <v>-0.97019933697813232</v>
      </c>
      <c r="D11" s="128">
        <v>0.6</v>
      </c>
      <c r="E11" s="125">
        <f t="shared" si="2"/>
        <v>-0.97019933697813232</v>
      </c>
      <c r="F11" s="118">
        <f t="shared" si="3"/>
        <v>259320.31721167205</v>
      </c>
      <c r="G11" s="118">
        <f t="shared" si="1"/>
        <v>5.4138365441787242</v>
      </c>
      <c r="H11" s="118">
        <f t="shared" si="4"/>
        <v>-1.34719415347974</v>
      </c>
      <c r="I11" s="118">
        <f t="shared" si="0"/>
        <v>39781.351305154138</v>
      </c>
      <c r="J11" s="121">
        <f t="shared" si="5"/>
        <v>5.154949618640881</v>
      </c>
      <c r="K11" s="36"/>
      <c r="L11" s="36"/>
      <c r="M11" s="36"/>
      <c r="N11" s="36"/>
      <c r="O11" s="36"/>
    </row>
    <row r="12" spans="1:18">
      <c r="A12" s="206" t="s">
        <v>176</v>
      </c>
      <c r="B12" s="207">
        <f>(B10*B7/B5)*(B7/B8*B3/B5)^B10*(B4/B6)^B11</f>
        <v>-5853278.3605415542</v>
      </c>
      <c r="D12" s="128">
        <v>0.55000000000000004</v>
      </c>
      <c r="E12" s="125">
        <f t="shared" si="2"/>
        <v>-0.97019933697813232</v>
      </c>
      <c r="F12" s="118">
        <f t="shared" si="3"/>
        <v>205146.27993078317</v>
      </c>
      <c r="G12" s="118">
        <f t="shared" si="1"/>
        <v>5.312063645991298</v>
      </c>
      <c r="H12" s="118">
        <f t="shared" si="4"/>
        <v>-1.34719415347974</v>
      </c>
      <c r="I12" s="118">
        <f t="shared" ref="I12:I18" si="6">$B$8*D12/(1-$B$8*D12)*$B$5/$B$3</f>
        <v>34176.678242593014</v>
      </c>
      <c r="J12" s="121">
        <f t="shared" si="5"/>
        <v>5.154949618640881</v>
      </c>
      <c r="K12" s="36"/>
      <c r="L12" s="36"/>
      <c r="M12" s="36"/>
      <c r="N12" s="36"/>
      <c r="O12" s="36"/>
    </row>
    <row r="13" spans="1:18">
      <c r="A13" s="206" t="s">
        <v>177</v>
      </c>
      <c r="B13" s="207">
        <f>B10+1</f>
        <v>-0.97019933697813232</v>
      </c>
      <c r="D13" s="128">
        <v>0.5</v>
      </c>
      <c r="E13" s="125">
        <f t="shared" si="2"/>
        <v>-0.97019933697813232</v>
      </c>
      <c r="F13" s="118">
        <f t="shared" si="3"/>
        <v>160270.71675933202</v>
      </c>
      <c r="G13" s="118">
        <f t="shared" si="1"/>
        <v>5.2048541791752152</v>
      </c>
      <c r="H13" s="118">
        <f t="shared" si="4"/>
        <v>-1.34719415347974</v>
      </c>
      <c r="I13" s="118">
        <f t="shared" si="6"/>
        <v>29234.215124447164</v>
      </c>
      <c r="J13" s="121">
        <f t="shared" si="5"/>
        <v>5.154949618640881</v>
      </c>
      <c r="K13" s="36"/>
      <c r="L13" s="36"/>
      <c r="M13" s="36"/>
      <c r="N13" s="36"/>
      <c r="O13" s="36"/>
    </row>
    <row r="14" spans="1:18">
      <c r="D14" s="128">
        <v>0.44999999999999996</v>
      </c>
      <c r="E14" s="125">
        <f t="shared" si="2"/>
        <v>-0.97019933697813232</v>
      </c>
      <c r="F14" s="118">
        <f t="shared" si="3"/>
        <v>123173.78451172034</v>
      </c>
      <c r="G14" s="118">
        <f t="shared" si="1"/>
        <v>5.0905182853170929</v>
      </c>
      <c r="H14" s="118">
        <f t="shared" si="4"/>
        <v>-1.34719415347974</v>
      </c>
      <c r="I14" s="118">
        <f t="shared" si="6"/>
        <v>24843.14530429371</v>
      </c>
      <c r="J14" s="121">
        <f t="shared" si="5"/>
        <v>5.154949618640881</v>
      </c>
      <c r="K14" s="36"/>
      <c r="L14" s="36"/>
      <c r="M14" s="36"/>
      <c r="N14" s="36"/>
      <c r="O14" s="36"/>
    </row>
    <row r="15" spans="1:18">
      <c r="D15" s="128">
        <v>0.39999999999999991</v>
      </c>
      <c r="E15" s="125">
        <f t="shared" si="2"/>
        <v>-0.97019933697813232</v>
      </c>
      <c r="F15" s="118">
        <f t="shared" si="3"/>
        <v>92654.433183465197</v>
      </c>
      <c r="G15" s="118">
        <f t="shared" si="1"/>
        <v>4.9668662035907598</v>
      </c>
      <c r="H15" s="118">
        <f t="shared" si="4"/>
        <v>-1.34719415347974</v>
      </c>
      <c r="I15" s="118">
        <f t="shared" si="6"/>
        <v>20916.071716125185</v>
      </c>
      <c r="J15" s="121">
        <f t="shared" si="5"/>
        <v>5.154949618640881</v>
      </c>
      <c r="K15" s="36"/>
      <c r="L15" s="36"/>
      <c r="M15" s="36"/>
      <c r="N15" s="36"/>
      <c r="O15" s="36"/>
    </row>
    <row r="16" spans="1:18">
      <c r="D16" s="128">
        <v>0.35</v>
      </c>
      <c r="E16" s="125">
        <f t="shared" si="2"/>
        <v>-0.97019933697813232</v>
      </c>
      <c r="F16" s="118">
        <f t="shared" si="3"/>
        <v>67751.188197555282</v>
      </c>
      <c r="G16" s="118">
        <f t="shared" si="1"/>
        <v>4.8309169161238117</v>
      </c>
      <c r="H16" s="118">
        <f t="shared" si="4"/>
        <v>-1.34719415347974</v>
      </c>
      <c r="I16" s="118">
        <f t="shared" si="6"/>
        <v>17383.140583314307</v>
      </c>
      <c r="J16" s="121">
        <f t="shared" si="5"/>
        <v>5.154949618640881</v>
      </c>
      <c r="K16" s="36"/>
      <c r="L16" s="36"/>
      <c r="M16" s="36"/>
      <c r="N16" s="36"/>
      <c r="O16" s="36"/>
    </row>
    <row r="17" spans="1:18">
      <c r="D17" s="128">
        <v>0.3</v>
      </c>
      <c r="E17" s="125">
        <f t="shared" si="2"/>
        <v>-0.97019933697813232</v>
      </c>
      <c r="F17" s="118">
        <f>($B$8*D17/$B$3)*((1-$B$8*D17)/($B$8*D17)*$B$3/$B$5)^($B$4/($B$4-$B$6))</f>
        <v>47685.598236296697</v>
      </c>
      <c r="G17" s="118">
        <f t="shared" si="1"/>
        <v>4.6783872354153067</v>
      </c>
      <c r="H17" s="118">
        <f t="shared" si="4"/>
        <v>-1.34719415347974</v>
      </c>
      <c r="I17" s="118">
        <f t="shared" si="6"/>
        <v>14187.849910155774</v>
      </c>
      <c r="J17" s="121">
        <f t="shared" si="5"/>
        <v>5.154949618640881</v>
      </c>
      <c r="K17" s="36"/>
      <c r="L17" s="36"/>
      <c r="M17" s="36"/>
      <c r="N17" s="36"/>
      <c r="O17" s="36"/>
    </row>
    <row r="18" spans="1:18" ht="14.25" thickBot="1">
      <c r="D18" s="129">
        <v>0.25</v>
      </c>
      <c r="E18" s="126">
        <f t="shared" si="2"/>
        <v>-0.97019933697813232</v>
      </c>
      <c r="F18" s="122">
        <f>($B$8*D18/$B$3)*((1-$B$8*D18)/($B$8*D18)*$B$3/$B$5)^($B$4/($B$4-$B$6))</f>
        <v>31821.19208068962</v>
      </c>
      <c r="G18" s="122">
        <f t="shared" si="1"/>
        <v>4.5027164450895727</v>
      </c>
      <c r="H18" s="122">
        <f t="shared" si="4"/>
        <v>-1.34719415347974</v>
      </c>
      <c r="I18" s="122">
        <f t="shared" si="6"/>
        <v>11284.004908496778</v>
      </c>
      <c r="J18" s="123">
        <f t="shared" si="5"/>
        <v>5.154949618640881</v>
      </c>
      <c r="K18" s="36"/>
      <c r="L18" s="36"/>
      <c r="M18" s="36"/>
      <c r="N18" s="36"/>
      <c r="O18" s="36"/>
    </row>
    <row r="19" spans="1:18" ht="23.25" customHeight="1" thickBot="1">
      <c r="D19" s="130" t="s">
        <v>108</v>
      </c>
      <c r="E19" s="131" t="s">
        <v>109</v>
      </c>
      <c r="K19" s="36"/>
      <c r="L19" s="36"/>
      <c r="M19" s="36"/>
      <c r="N19" s="36"/>
      <c r="O19" s="36"/>
    </row>
    <row r="20" spans="1:18">
      <c r="A20" s="35" t="s">
        <v>40</v>
      </c>
      <c r="B20" s="97">
        <v>1</v>
      </c>
      <c r="C20" s="98">
        <v>0.95</v>
      </c>
      <c r="D20" s="98">
        <v>0.9</v>
      </c>
      <c r="E20" s="98">
        <v>0.85</v>
      </c>
      <c r="F20" s="98">
        <v>0.8</v>
      </c>
      <c r="G20" s="98">
        <v>0.75</v>
      </c>
      <c r="H20" s="98">
        <v>0.7</v>
      </c>
      <c r="I20" s="98">
        <v>0.64999999999999991</v>
      </c>
      <c r="J20" s="98">
        <v>0.6</v>
      </c>
      <c r="K20" s="99">
        <v>0.55000000000000004</v>
      </c>
      <c r="L20" s="99">
        <v>0.5</v>
      </c>
      <c r="M20" s="99">
        <v>0.44999999999999996</v>
      </c>
      <c r="N20" s="99">
        <v>0.39999999999999991</v>
      </c>
      <c r="O20" s="100">
        <v>0.35</v>
      </c>
      <c r="P20" s="101">
        <v>0.3</v>
      </c>
      <c r="Q20" s="102">
        <v>0.25</v>
      </c>
    </row>
    <row r="21" spans="1:18">
      <c r="A21" s="35" t="s">
        <v>41</v>
      </c>
      <c r="B21" s="103">
        <v>-0.97019933697813232</v>
      </c>
      <c r="C21" s="104">
        <v>-0.97019933697813232</v>
      </c>
      <c r="D21" s="104">
        <v>-0.97019933697813232</v>
      </c>
      <c r="E21" s="104">
        <v>-0.97019933697813232</v>
      </c>
      <c r="F21" s="104">
        <v>-0.97019933697813232</v>
      </c>
      <c r="G21" s="104">
        <v>-0.97019933697813232</v>
      </c>
      <c r="H21" s="104">
        <v>-0.97019933697813232</v>
      </c>
      <c r="I21" s="104">
        <v>-0.97019933697813232</v>
      </c>
      <c r="J21" s="104">
        <v>-0.97019933697813232</v>
      </c>
      <c r="K21" s="105">
        <v>-0.97019933697813232</v>
      </c>
      <c r="L21" s="105">
        <v>-0.97019933697813232</v>
      </c>
      <c r="M21" s="105">
        <v>-0.97019933697813232</v>
      </c>
      <c r="N21" s="105">
        <v>-0.97019933697813232</v>
      </c>
      <c r="O21" s="105">
        <v>-0.97019933697813232</v>
      </c>
      <c r="P21" s="105">
        <v>-0.97019933697813232</v>
      </c>
      <c r="Q21" s="106">
        <v>-0.97019933697813232</v>
      </c>
      <c r="R21" s="37"/>
    </row>
    <row r="22" spans="1:18" ht="16.5">
      <c r="A22" s="35" t="s">
        <v>61</v>
      </c>
      <c r="B22" s="107">
        <v>1494197.358768913</v>
      </c>
      <c r="C22" s="108">
        <v>1184955.2892592293</v>
      </c>
      <c r="D22" s="108">
        <v>949252.01459015033</v>
      </c>
      <c r="E22" s="108">
        <v>765132.52711426618</v>
      </c>
      <c r="F22" s="108">
        <v>618619.14916627284</v>
      </c>
      <c r="G22" s="108">
        <v>500385.61475938023</v>
      </c>
      <c r="H22" s="108">
        <v>403968.29184964509</v>
      </c>
      <c r="I22" s="108">
        <v>324744.62533773429</v>
      </c>
      <c r="J22" s="108">
        <v>259320.31721167205</v>
      </c>
      <c r="K22" s="109">
        <v>205146.27993078317</v>
      </c>
      <c r="L22" s="109">
        <v>160270.71675933202</v>
      </c>
      <c r="M22" s="109">
        <v>123173.78451172034</v>
      </c>
      <c r="N22" s="109">
        <v>92654.433183465197</v>
      </c>
      <c r="O22" s="109">
        <v>67751.188197555282</v>
      </c>
      <c r="P22" s="109">
        <v>47685.598236296697</v>
      </c>
      <c r="Q22" s="110">
        <v>31821.19208068962</v>
      </c>
      <c r="R22" s="37"/>
    </row>
    <row r="23" spans="1:18" ht="16.5">
      <c r="A23" s="35" t="s">
        <v>62</v>
      </c>
      <c r="B23" s="103">
        <v>6.1744079643893448</v>
      </c>
      <c r="C23" s="104">
        <v>6.0737019638530194</v>
      </c>
      <c r="D23" s="104">
        <v>5.9773815275126063</v>
      </c>
      <c r="E23" s="104">
        <v>5.8837366649700584</v>
      </c>
      <c r="F23" s="104">
        <v>5.7914233593278919</v>
      </c>
      <c r="G23" s="104">
        <v>5.6993048159685795</v>
      </c>
      <c r="H23" s="104">
        <v>5.6063472779443719</v>
      </c>
      <c r="I23" s="104">
        <v>5.5115419720453582</v>
      </c>
      <c r="J23" s="104">
        <v>5.4138365441787242</v>
      </c>
      <c r="K23" s="105">
        <v>5.312063645991298</v>
      </c>
      <c r="L23" s="105">
        <v>5.2048541791752152</v>
      </c>
      <c r="M23" s="105">
        <v>5.0905182853170929</v>
      </c>
      <c r="N23" s="105">
        <v>4.9668662035907598</v>
      </c>
      <c r="O23" s="105">
        <v>4.8309169161238117</v>
      </c>
      <c r="P23" s="105">
        <v>4.6783872354153067</v>
      </c>
      <c r="Q23" s="106">
        <v>4.5027164450895727</v>
      </c>
      <c r="R23" s="37"/>
    </row>
    <row r="24" spans="1:18">
      <c r="A24" s="35" t="s">
        <v>42</v>
      </c>
      <c r="B24" s="103">
        <v>-1.34719415347974</v>
      </c>
      <c r="C24" s="104">
        <v>-1.34719415347974</v>
      </c>
      <c r="D24" s="104">
        <v>-1.34719415347974</v>
      </c>
      <c r="E24" s="104">
        <v>-1.34719415347974</v>
      </c>
      <c r="F24" s="104">
        <v>-1.34719415347974</v>
      </c>
      <c r="G24" s="104">
        <v>-1.34719415347974</v>
      </c>
      <c r="H24" s="104">
        <v>-1.34719415347974</v>
      </c>
      <c r="I24" s="104">
        <v>-1.34719415347974</v>
      </c>
      <c r="J24" s="104">
        <v>-1.34719415347974</v>
      </c>
      <c r="K24" s="105">
        <v>-1.34719415347974</v>
      </c>
      <c r="L24" s="105">
        <v>-1.34719415347974</v>
      </c>
      <c r="M24" s="105">
        <v>-1.34719415347974</v>
      </c>
      <c r="N24" s="105">
        <v>-1.34719415347974</v>
      </c>
      <c r="O24" s="105">
        <v>-1.34719415347974</v>
      </c>
      <c r="P24" s="105">
        <v>-1.34719415347974</v>
      </c>
      <c r="Q24" s="106">
        <v>-1.34719415347974</v>
      </c>
      <c r="R24" s="37"/>
    </row>
    <row r="25" spans="1:18" ht="16.5">
      <c r="A25" s="35" t="s">
        <v>63</v>
      </c>
      <c r="B25" s="107">
        <v>142872.82059004548</v>
      </c>
      <c r="C25" s="108">
        <v>118607.17649118116</v>
      </c>
      <c r="D25" s="108">
        <v>99777.884608796492</v>
      </c>
      <c r="E25" s="108">
        <v>84742.075705244803</v>
      </c>
      <c r="F25" s="108">
        <v>72458.268794810341</v>
      </c>
      <c r="G25" s="108">
        <v>62234.262802515645</v>
      </c>
      <c r="H25" s="108">
        <v>53592.041383482057</v>
      </c>
      <c r="I25" s="108">
        <v>46190.87840849143</v>
      </c>
      <c r="J25" s="108">
        <v>39781.351305154138</v>
      </c>
      <c r="K25" s="109">
        <v>34176.678242593014</v>
      </c>
      <c r="L25" s="109">
        <v>29234.215124447164</v>
      </c>
      <c r="M25" s="109">
        <v>24843.14530429371</v>
      </c>
      <c r="N25" s="109">
        <v>20916.071716125185</v>
      </c>
      <c r="O25" s="109">
        <v>17383.140583314307</v>
      </c>
      <c r="P25" s="109">
        <v>14187.849910155774</v>
      </c>
      <c r="Q25" s="110">
        <v>11284.004908496778</v>
      </c>
      <c r="R25" s="37"/>
    </row>
    <row r="26" spans="1:18" ht="17.25" thickBot="1">
      <c r="A26" s="35" t="s">
        <v>64</v>
      </c>
      <c r="B26" s="111">
        <v>5.154949618640881</v>
      </c>
      <c r="C26" s="112">
        <v>5.154949618640881</v>
      </c>
      <c r="D26" s="112">
        <v>5.154949618640881</v>
      </c>
      <c r="E26" s="112">
        <v>5.154949618640881</v>
      </c>
      <c r="F26" s="112">
        <v>5.154949618640881</v>
      </c>
      <c r="G26" s="112">
        <v>5.154949618640881</v>
      </c>
      <c r="H26" s="112">
        <v>5.154949618640881</v>
      </c>
      <c r="I26" s="112">
        <v>5.154949618640881</v>
      </c>
      <c r="J26" s="112">
        <v>5.154949618640881</v>
      </c>
      <c r="K26" s="113">
        <v>5.154949618640881</v>
      </c>
      <c r="L26" s="113">
        <v>5.154949618640881</v>
      </c>
      <c r="M26" s="113">
        <v>5.154949618640881</v>
      </c>
      <c r="N26" s="113">
        <v>5.154949618640881</v>
      </c>
      <c r="O26" s="113">
        <v>5.154949618640881</v>
      </c>
      <c r="P26" s="113">
        <v>5.154949618640881</v>
      </c>
      <c r="Q26" s="114">
        <v>5.154949618640881</v>
      </c>
      <c r="R26" s="37"/>
    </row>
    <row r="27" spans="1:18">
      <c r="K27" s="43"/>
      <c r="L27" s="43"/>
      <c r="M27" s="43"/>
      <c r="N27" s="43"/>
      <c r="O27" s="43"/>
      <c r="P27" s="42"/>
      <c r="Q27" s="41"/>
    </row>
    <row r="28" spans="1:18">
      <c r="A28" s="35" t="s">
        <v>40</v>
      </c>
      <c r="B28" s="39">
        <v>1</v>
      </c>
      <c r="C28" s="39">
        <v>0.95</v>
      </c>
      <c r="D28" s="39">
        <v>0.9</v>
      </c>
      <c r="E28" s="39">
        <v>0.85</v>
      </c>
      <c r="F28" s="39">
        <v>0.8</v>
      </c>
      <c r="G28" s="39">
        <v>0.75</v>
      </c>
      <c r="H28" s="39">
        <v>0.7</v>
      </c>
      <c r="I28" s="39">
        <v>0.64999999999999991</v>
      </c>
      <c r="J28" s="39">
        <v>0.6</v>
      </c>
      <c r="K28" s="40">
        <v>0.55000000000000004</v>
      </c>
      <c r="L28" s="40">
        <v>0.5</v>
      </c>
      <c r="M28" s="40">
        <v>0.44999999999999996</v>
      </c>
      <c r="N28" s="40">
        <v>0.39999999999999991</v>
      </c>
      <c r="O28" s="40">
        <v>0.35</v>
      </c>
      <c r="P28" s="40">
        <v>0.3</v>
      </c>
      <c r="Q28" s="40">
        <v>0.25</v>
      </c>
    </row>
    <row r="29" spans="1:18">
      <c r="A29" s="35" t="s">
        <v>43</v>
      </c>
      <c r="B29" s="35" t="s">
        <v>44</v>
      </c>
      <c r="K29" s="43"/>
      <c r="L29" s="43"/>
      <c r="M29" s="43"/>
      <c r="N29" s="43"/>
      <c r="O29" s="44"/>
      <c r="P29" s="41"/>
      <c r="Q29" s="41"/>
    </row>
    <row r="30" spans="1:18">
      <c r="A30" s="46">
        <f>'a（自動）計算用'!G5</f>
        <v>7.005377668918638</v>
      </c>
      <c r="B30" s="45">
        <f>B$25*$A30^B$24</f>
        <v>10375.025490969327</v>
      </c>
      <c r="C30" s="45">
        <f t="shared" ref="C30:Q30" si="7">C$25*$A30^C$24</f>
        <v>8612.922138905682</v>
      </c>
      <c r="D30" s="45">
        <f t="shared" si="7"/>
        <v>7245.5915126196232</v>
      </c>
      <c r="E30" s="45">
        <f t="shared" si="7"/>
        <v>6153.7330331170406</v>
      </c>
      <c r="F30" s="45">
        <f t="shared" si="7"/>
        <v>5261.7172578592072</v>
      </c>
      <c r="G30" s="45">
        <f t="shared" si="7"/>
        <v>4519.278476628404</v>
      </c>
      <c r="H30" s="47">
        <f>H$25*$A30^H$24</f>
        <v>3891.7044765437313</v>
      </c>
      <c r="I30" s="45">
        <f t="shared" si="7"/>
        <v>3354.2526770256345</v>
      </c>
      <c r="J30" s="45">
        <f t="shared" si="7"/>
        <v>2888.8107069745693</v>
      </c>
      <c r="K30" s="45">
        <f t="shared" si="7"/>
        <v>2481.8149911171035</v>
      </c>
      <c r="L30" s="45">
        <f t="shared" si="7"/>
        <v>2122.9071132774493</v>
      </c>
      <c r="M30" s="45">
        <f t="shared" si="7"/>
        <v>1804.0398778678589</v>
      </c>
      <c r="N30" s="45">
        <f t="shared" si="7"/>
        <v>1518.8667538692166</v>
      </c>
      <c r="O30" s="45">
        <f t="shared" si="7"/>
        <v>1262.3151549760548</v>
      </c>
      <c r="P30" s="45">
        <f t="shared" si="7"/>
        <v>1030.2820639503002</v>
      </c>
      <c r="Q30" s="45">
        <f t="shared" si="7"/>
        <v>819.41294420020665</v>
      </c>
    </row>
    <row r="31" spans="1:18">
      <c r="A31" s="46">
        <f>'a（自動）計算用'!G6</f>
        <v>7.6866187767008665</v>
      </c>
      <c r="B31" s="45">
        <f>B$25*$A31^B$24</f>
        <v>9155.7124342477728</v>
      </c>
      <c r="C31" s="45">
        <f t="shared" ref="B31:Q38" si="8">C$25*$A31^C$24</f>
        <v>7600.6982721176073</v>
      </c>
      <c r="D31" s="45">
        <f t="shared" si="8"/>
        <v>6394.0616206981176</v>
      </c>
      <c r="E31" s="45">
        <f t="shared" si="8"/>
        <v>5430.5225656931852</v>
      </c>
      <c r="F31" s="45">
        <f t="shared" si="8"/>
        <v>4643.3399286787417</v>
      </c>
      <c r="G31" s="45">
        <f t="shared" si="8"/>
        <v>3988.1554197925334</v>
      </c>
      <c r="H31" s="47">
        <f t="shared" si="8"/>
        <v>3434.3363394454823</v>
      </c>
      <c r="I31" s="45">
        <f t="shared" si="8"/>
        <v>2960.0479506661172</v>
      </c>
      <c r="J31" s="45">
        <f t="shared" si="8"/>
        <v>2549.3065181437019</v>
      </c>
      <c r="K31" s="45">
        <f t="shared" si="8"/>
        <v>2190.1425103438883</v>
      </c>
      <c r="L31" s="45">
        <f t="shared" si="8"/>
        <v>1873.4148721567562</v>
      </c>
      <c r="M31" s="45">
        <f t="shared" si="8"/>
        <v>1592.0221454926179</v>
      </c>
      <c r="N31" s="45">
        <f t="shared" si="8"/>
        <v>1340.3636681635458</v>
      </c>
      <c r="O31" s="45">
        <f t="shared" si="8"/>
        <v>1113.9630037934371</v>
      </c>
      <c r="P31" s="45">
        <f t="shared" si="8"/>
        <v>909.19933757299259</v>
      </c>
      <c r="Q31" s="45">
        <f t="shared" si="8"/>
        <v>723.11237100357971</v>
      </c>
    </row>
    <row r="32" spans="1:18">
      <c r="A32" s="46">
        <f>'a（自動）計算用'!G7</f>
        <v>8.3560214438217386</v>
      </c>
      <c r="B32" s="45">
        <f t="shared" si="8"/>
        <v>8181.580747695004</v>
      </c>
      <c r="C32" s="45">
        <f t="shared" si="8"/>
        <v>6792.0139583660084</v>
      </c>
      <c r="D32" s="45">
        <f t="shared" si="8"/>
        <v>5713.7586868495046</v>
      </c>
      <c r="E32" s="45">
        <f t="shared" si="8"/>
        <v>4852.7363864338104</v>
      </c>
      <c r="F32" s="45">
        <f t="shared" si="8"/>
        <v>4149.3068768058911</v>
      </c>
      <c r="G32" s="45">
        <f t="shared" si="8"/>
        <v>3563.8314151651148</v>
      </c>
      <c r="H32" s="47">
        <f t="shared" si="8"/>
        <v>3068.9365003221651</v>
      </c>
      <c r="I32" s="45">
        <f t="shared" si="8"/>
        <v>2645.1105251880576</v>
      </c>
      <c r="J32" s="45">
        <f t="shared" si="8"/>
        <v>2278.07036083823</v>
      </c>
      <c r="K32" s="45">
        <f t="shared" si="8"/>
        <v>1957.1199866774937</v>
      </c>
      <c r="L32" s="45">
        <f t="shared" si="8"/>
        <v>1674.0909198009899</v>
      </c>
      <c r="M32" s="45">
        <f t="shared" si="8"/>
        <v>1422.6372692467207</v>
      </c>
      <c r="N32" s="45">
        <f t="shared" si="8"/>
        <v>1197.7542611906754</v>
      </c>
      <c r="O32" s="45">
        <f t="shared" si="8"/>
        <v>995.44173442901285</v>
      </c>
      <c r="P32" s="45">
        <f t="shared" si="8"/>
        <v>812.46411456514966</v>
      </c>
      <c r="Q32" s="45">
        <f t="shared" si="8"/>
        <v>646.17606718324657</v>
      </c>
    </row>
    <row r="33" spans="1:17">
      <c r="A33" s="46">
        <f>'a（自動）計算用'!G8</f>
        <v>9.0132564321920068</v>
      </c>
      <c r="B33" s="45">
        <f t="shared" si="8"/>
        <v>7388.1982167880478</v>
      </c>
      <c r="C33" s="45">
        <f t="shared" si="8"/>
        <v>6133.3802064761985</v>
      </c>
      <c r="D33" s="45">
        <f t="shared" si="8"/>
        <v>5159.6852788175165</v>
      </c>
      <c r="E33" s="45">
        <f t="shared" si="8"/>
        <v>4382.1578521844458</v>
      </c>
      <c r="F33" s="45">
        <f t="shared" si="8"/>
        <v>3746.9411613104658</v>
      </c>
      <c r="G33" s="45">
        <f t="shared" si="8"/>
        <v>3218.240303241419</v>
      </c>
      <c r="H33" s="47">
        <f t="shared" si="8"/>
        <v>2771.3362341994721</v>
      </c>
      <c r="I33" s="45">
        <f t="shared" si="8"/>
        <v>2388.6094225626803</v>
      </c>
      <c r="J33" s="45">
        <f t="shared" si="8"/>
        <v>2057.161799986447</v>
      </c>
      <c r="K33" s="45">
        <f t="shared" si="8"/>
        <v>1767.3345581395874</v>
      </c>
      <c r="L33" s="45">
        <f t="shared" si="8"/>
        <v>1511.7513265268838</v>
      </c>
      <c r="M33" s="45">
        <f t="shared" si="8"/>
        <v>1284.6815865926676</v>
      </c>
      <c r="N33" s="45">
        <f t="shared" si="8"/>
        <v>1081.6058863896601</v>
      </c>
      <c r="O33" s="45">
        <f t="shared" si="8"/>
        <v>898.91196750662425</v>
      </c>
      <c r="P33" s="45">
        <f t="shared" si="8"/>
        <v>733.67801498819688</v>
      </c>
      <c r="Q33" s="45">
        <f t="shared" si="8"/>
        <v>583.51521723224164</v>
      </c>
    </row>
    <row r="34" spans="1:17">
      <c r="A34" s="46">
        <f>'a（自動）計算用'!G9</f>
        <v>9.6580943635452208</v>
      </c>
      <c r="B34" s="45">
        <f t="shared" si="8"/>
        <v>6731.4654805546188</v>
      </c>
      <c r="C34" s="45">
        <f t="shared" si="8"/>
        <v>5588.1875292945888</v>
      </c>
      <c r="D34" s="45">
        <f t="shared" si="8"/>
        <v>4701.043789805829</v>
      </c>
      <c r="E34" s="45">
        <f t="shared" si="8"/>
        <v>3992.6303337791483</v>
      </c>
      <c r="F34" s="45">
        <f t="shared" si="8"/>
        <v>3413.8776931726461</v>
      </c>
      <c r="G34" s="45">
        <f t="shared" si="8"/>
        <v>2932.1727535915029</v>
      </c>
      <c r="H34" s="47">
        <f t="shared" si="8"/>
        <v>2524.9937329962618</v>
      </c>
      <c r="I34" s="45">
        <f t="shared" si="8"/>
        <v>2176.2872899068366</v>
      </c>
      <c r="J34" s="45">
        <f t="shared" si="8"/>
        <v>1874.3018579358775</v>
      </c>
      <c r="K34" s="45">
        <f t="shared" si="8"/>
        <v>1610.237194729717</v>
      </c>
      <c r="L34" s="45">
        <f t="shared" si="8"/>
        <v>1377.3726111699298</v>
      </c>
      <c r="M34" s="45">
        <f t="shared" si="8"/>
        <v>1170.4869712350826</v>
      </c>
      <c r="N34" s="45">
        <f t="shared" si="8"/>
        <v>985.46255449030662</v>
      </c>
      <c r="O34" s="45">
        <f t="shared" si="8"/>
        <v>819.00819411947123</v>
      </c>
      <c r="P34" s="45">
        <f t="shared" si="8"/>
        <v>668.46179363633121</v>
      </c>
      <c r="Q34" s="45">
        <f t="shared" si="8"/>
        <v>531.64688154303326</v>
      </c>
    </row>
    <row r="35" spans="1:17">
      <c r="A35" s="46">
        <f>'a（自動）計算用'!G10</f>
        <v>10.290382189294702</v>
      </c>
      <c r="B35" s="45">
        <f t="shared" si="8"/>
        <v>6180.2752037025084</v>
      </c>
      <c r="C35" s="45">
        <f t="shared" si="8"/>
        <v>5130.6118884076041</v>
      </c>
      <c r="D35" s="45">
        <f t="shared" si="8"/>
        <v>4316.1098351592282</v>
      </c>
      <c r="E35" s="45">
        <f t="shared" si="8"/>
        <v>3665.7031549350932</v>
      </c>
      <c r="F35" s="45">
        <f t="shared" si="8"/>
        <v>3134.3403180981118</v>
      </c>
      <c r="G35" s="45">
        <f t="shared" si="8"/>
        <v>2692.0786587025018</v>
      </c>
      <c r="H35" s="47">
        <f t="shared" si="8"/>
        <v>2318.2405380552123</v>
      </c>
      <c r="I35" s="45">
        <f t="shared" si="8"/>
        <v>1998.08710492503</v>
      </c>
      <c r="J35" s="45">
        <f t="shared" si="8"/>
        <v>1720.8290424004731</v>
      </c>
      <c r="K35" s="45">
        <f t="shared" si="8"/>
        <v>1478.3866953511611</v>
      </c>
      <c r="L35" s="45">
        <f t="shared" si="8"/>
        <v>1264.58968253836</v>
      </c>
      <c r="M35" s="45">
        <f t="shared" si="8"/>
        <v>1074.6443884289242</v>
      </c>
      <c r="N35" s="45">
        <f t="shared" si="8"/>
        <v>904.77026247662957</v>
      </c>
      <c r="O35" s="45">
        <f t="shared" si="8"/>
        <v>751.94562734780527</v>
      </c>
      <c r="P35" s="45">
        <f t="shared" si="8"/>
        <v>613.72636608882033</v>
      </c>
      <c r="Q35" s="45">
        <f t="shared" si="8"/>
        <v>488.11422247023921</v>
      </c>
    </row>
    <row r="36" spans="1:17">
      <c r="A36" s="46">
        <f>'a（自動）計算用'!G11</f>
        <v>10.910026199109787</v>
      </c>
      <c r="B36" s="45">
        <f t="shared" si="8"/>
        <v>5712.1128292835447</v>
      </c>
      <c r="C36" s="45">
        <f t="shared" si="8"/>
        <v>4741.9626187990125</v>
      </c>
      <c r="D36" s="45">
        <f t="shared" si="8"/>
        <v>3989.1599563786435</v>
      </c>
      <c r="E36" s="45">
        <f t="shared" si="8"/>
        <v>3388.0222691548956</v>
      </c>
      <c r="F36" s="45">
        <f t="shared" si="8"/>
        <v>2896.9107284450783</v>
      </c>
      <c r="G36" s="45">
        <f t="shared" si="8"/>
        <v>2488.1508568748845</v>
      </c>
      <c r="H36" s="47">
        <f t="shared" si="8"/>
        <v>2142.6313687224242</v>
      </c>
      <c r="I36" s="45">
        <f t="shared" si="8"/>
        <v>1846.7298963047383</v>
      </c>
      <c r="J36" s="45">
        <f t="shared" si="8"/>
        <v>1590.4744248622962</v>
      </c>
      <c r="K36" s="45">
        <f t="shared" si="8"/>
        <v>1366.3973416747481</v>
      </c>
      <c r="L36" s="45">
        <f t="shared" si="8"/>
        <v>1168.7956783994819</v>
      </c>
      <c r="M36" s="45">
        <f t="shared" si="8"/>
        <v>993.23894094310731</v>
      </c>
      <c r="N36" s="45">
        <f t="shared" si="8"/>
        <v>836.23295945637437</v>
      </c>
      <c r="O36" s="45">
        <f t="shared" si="8"/>
        <v>694.98495185519801</v>
      </c>
      <c r="P36" s="45">
        <f t="shared" si="8"/>
        <v>567.23594562671315</v>
      </c>
      <c r="Q36" s="45">
        <f t="shared" si="8"/>
        <v>451.13905456146506</v>
      </c>
    </row>
    <row r="37" spans="1:17">
      <c r="A37" s="46">
        <f>'a（自動）計算用'!G12</f>
        <v>11.516979531457144</v>
      </c>
      <c r="B37" s="45">
        <f t="shared" si="8"/>
        <v>5310.3172628253587</v>
      </c>
      <c r="C37" s="45">
        <f t="shared" si="8"/>
        <v>4408.4083607710127</v>
      </c>
      <c r="D37" s="45">
        <f t="shared" si="8"/>
        <v>3708.5585690691237</v>
      </c>
      <c r="E37" s="45">
        <f t="shared" si="8"/>
        <v>3149.7054908466525</v>
      </c>
      <c r="F37" s="45">
        <f t="shared" si="8"/>
        <v>2693.139213087883</v>
      </c>
      <c r="G37" s="45">
        <f t="shared" si="8"/>
        <v>2313.1319080463022</v>
      </c>
      <c r="H37" s="47">
        <f t="shared" si="8"/>
        <v>1991.9165964067513</v>
      </c>
      <c r="I37" s="45">
        <f t="shared" si="8"/>
        <v>1716.8291210649579</v>
      </c>
      <c r="J37" s="45">
        <f t="shared" si="8"/>
        <v>1478.5989084686614</v>
      </c>
      <c r="K37" s="45">
        <f t="shared" si="8"/>
        <v>1270.2836250319999</v>
      </c>
      <c r="L37" s="45">
        <f t="shared" si="8"/>
        <v>1086.5814547467426</v>
      </c>
      <c r="M37" s="45">
        <f t="shared" si="8"/>
        <v>923.37354877881785</v>
      </c>
      <c r="N37" s="45">
        <f t="shared" si="8"/>
        <v>777.41152058120394</v>
      </c>
      <c r="O37" s="45">
        <f t="shared" si="8"/>
        <v>646.09903507515446</v>
      </c>
      <c r="P37" s="45">
        <f t="shared" si="8"/>
        <v>527.33601806923946</v>
      </c>
      <c r="Q37" s="45">
        <f t="shared" si="8"/>
        <v>419.4054951244625</v>
      </c>
    </row>
    <row r="38" spans="1:17">
      <c r="A38" s="46">
        <f>'a（自動）計算用'!G13</f>
        <v>12.111232869455735</v>
      </c>
      <c r="B38" s="45">
        <f t="shared" si="8"/>
        <v>4962.318096662636</v>
      </c>
      <c r="C38" s="45">
        <f t="shared" ref="B38:Q53" si="9">C$25*$A38^C$24</f>
        <v>4119.5136756280663</v>
      </c>
      <c r="D38" s="45">
        <f t="shared" si="9"/>
        <v>3465.5268958513502</v>
      </c>
      <c r="E38" s="45">
        <f t="shared" si="9"/>
        <v>2943.2969411831614</v>
      </c>
      <c r="F38" s="45">
        <f t="shared" si="9"/>
        <v>2516.6506618151348</v>
      </c>
      <c r="G38" s="45">
        <f t="shared" si="9"/>
        <v>2161.5462427491188</v>
      </c>
      <c r="H38" s="47">
        <f t="shared" si="9"/>
        <v>1861.38102191898</v>
      </c>
      <c r="I38" s="45">
        <f t="shared" si="9"/>
        <v>1604.3207580040644</v>
      </c>
      <c r="J38" s="45">
        <f t="shared" si="9"/>
        <v>1381.7024027102771</v>
      </c>
      <c r="K38" s="45">
        <f t="shared" si="9"/>
        <v>1187.0385719735129</v>
      </c>
      <c r="L38" s="45">
        <f t="shared" si="9"/>
        <v>1015.3748918419567</v>
      </c>
      <c r="M38" s="45">
        <f t="shared" si="9"/>
        <v>862.8624325633665</v>
      </c>
      <c r="N38" s="45">
        <f t="shared" si="9"/>
        <v>726.46568297156693</v>
      </c>
      <c r="O38" s="45">
        <f t="shared" si="9"/>
        <v>603.75845270756429</v>
      </c>
      <c r="P38" s="45">
        <f t="shared" si="9"/>
        <v>492.778291008309</v>
      </c>
      <c r="Q38" s="45">
        <f t="shared" si="9"/>
        <v>391.92074132093506</v>
      </c>
    </row>
    <row r="39" spans="1:17">
      <c r="A39" s="46">
        <f>'a（自動）計算用'!G14</f>
        <v>12.692807439777415</v>
      </c>
      <c r="B39" s="45">
        <f t="shared" si="9"/>
        <v>4658.4683437813192</v>
      </c>
      <c r="C39" s="45">
        <f t="shared" si="9"/>
        <v>3867.2700290201178</v>
      </c>
      <c r="D39" s="45">
        <f t="shared" si="9"/>
        <v>3253.327784388468</v>
      </c>
      <c r="E39" s="45">
        <f t="shared" si="9"/>
        <v>2763.0747081835661</v>
      </c>
      <c r="F39" s="45">
        <f t="shared" si="9"/>
        <v>2362.5525837021223</v>
      </c>
      <c r="G39" s="45">
        <f t="shared" si="9"/>
        <v>2029.191710269112</v>
      </c>
      <c r="H39" s="47">
        <f t="shared" si="9"/>
        <v>1747.4060302898797</v>
      </c>
      <c r="I39" s="45">
        <f t="shared" si="9"/>
        <v>1506.085929771318</v>
      </c>
      <c r="J39" s="45">
        <f t="shared" si="9"/>
        <v>1297.0988111143668</v>
      </c>
      <c r="K39" s="45">
        <f t="shared" si="9"/>
        <v>1114.3545219531572</v>
      </c>
      <c r="L39" s="45">
        <f t="shared" si="9"/>
        <v>953.2020516575343</v>
      </c>
      <c r="M39" s="45">
        <f t="shared" si="9"/>
        <v>810.02814588567878</v>
      </c>
      <c r="N39" s="45">
        <f t="shared" si="9"/>
        <v>681.98316211178519</v>
      </c>
      <c r="O39" s="45">
        <f t="shared" si="9"/>
        <v>566.78946904273653</v>
      </c>
      <c r="P39" s="45">
        <f t="shared" si="9"/>
        <v>462.60477955025624</v>
      </c>
      <c r="Q39" s="45">
        <f t="shared" si="9"/>
        <v>367.9228802246223</v>
      </c>
    </row>
    <row r="40" spans="1:17">
      <c r="A40" s="46">
        <f>'a（自動）計算用'!G15</f>
        <v>13.261749704127018</v>
      </c>
      <c r="B40" s="45">
        <f t="shared" si="9"/>
        <v>4391.2518708833823</v>
      </c>
      <c r="C40" s="45">
        <f t="shared" si="9"/>
        <v>3645.4378342649129</v>
      </c>
      <c r="D40" s="45">
        <f t="shared" si="9"/>
        <v>3066.7122035644302</v>
      </c>
      <c r="E40" s="45">
        <f t="shared" si="9"/>
        <v>2604.5807519329178</v>
      </c>
      <c r="F40" s="45">
        <f t="shared" si="9"/>
        <v>2227.033155026485</v>
      </c>
      <c r="G40" s="45">
        <f t="shared" si="9"/>
        <v>1912.794342800536</v>
      </c>
      <c r="H40" s="47">
        <f t="shared" si="9"/>
        <v>1647.1722964365699</v>
      </c>
      <c r="I40" s="45">
        <f t="shared" si="9"/>
        <v>1419.6946654468668</v>
      </c>
      <c r="J40" s="45">
        <f t="shared" si="9"/>
        <v>1222.6953497773848</v>
      </c>
      <c r="K40" s="45">
        <f t="shared" si="9"/>
        <v>1050.4335369985868</v>
      </c>
      <c r="L40" s="45">
        <f t="shared" si="9"/>
        <v>898.52500516798978</v>
      </c>
      <c r="M40" s="45">
        <f t="shared" si="9"/>
        <v>763.56376143181137</v>
      </c>
      <c r="N40" s="45">
        <f t="shared" si="9"/>
        <v>642.86362287555426</v>
      </c>
      <c r="O40" s="45">
        <f t="shared" si="9"/>
        <v>534.27760642688872</v>
      </c>
      <c r="P40" s="45">
        <f t="shared" si="9"/>
        <v>436.0691012082184</v>
      </c>
      <c r="Q40" s="45">
        <f t="shared" si="9"/>
        <v>346.8182923865798</v>
      </c>
    </row>
    <row r="41" spans="1:17">
      <c r="A41" s="46">
        <f>'a（自動）計算用'!G16</f>
        <v>13.818127308626075</v>
      </c>
      <c r="B41" s="45">
        <f t="shared" si="9"/>
        <v>4154.7331778594162</v>
      </c>
      <c r="C41" s="45">
        <f t="shared" si="9"/>
        <v>3449.0896817534499</v>
      </c>
      <c r="D41" s="45">
        <f t="shared" si="9"/>
        <v>2901.5349867718546</v>
      </c>
      <c r="E41" s="45">
        <f t="shared" si="9"/>
        <v>2464.2945525902624</v>
      </c>
      <c r="F41" s="45">
        <f t="shared" si="9"/>
        <v>2107.0821737037163</v>
      </c>
      <c r="G41" s="45">
        <f t="shared" si="9"/>
        <v>1809.7686837663598</v>
      </c>
      <c r="H41" s="47">
        <f t="shared" si="9"/>
        <v>1558.4533957236188</v>
      </c>
      <c r="I41" s="45">
        <f t="shared" si="9"/>
        <v>1343.228013877404</v>
      </c>
      <c r="J41" s="45">
        <f t="shared" si="9"/>
        <v>1156.8393445654467</v>
      </c>
      <c r="K41" s="45">
        <f t="shared" si="9"/>
        <v>993.85578318610294</v>
      </c>
      <c r="L41" s="45">
        <f t="shared" si="9"/>
        <v>850.12924784857785</v>
      </c>
      <c r="M41" s="45">
        <f t="shared" si="9"/>
        <v>722.4371970250229</v>
      </c>
      <c r="N41" s="45">
        <f t="shared" si="9"/>
        <v>608.23812920178989</v>
      </c>
      <c r="O41" s="45">
        <f t="shared" si="9"/>
        <v>505.50070068346122</v>
      </c>
      <c r="P41" s="45">
        <f t="shared" si="9"/>
        <v>412.58183677463552</v>
      </c>
      <c r="Q41" s="45">
        <f t="shared" si="9"/>
        <v>328.13819576630186</v>
      </c>
    </row>
    <row r="42" spans="1:17">
      <c r="A42" s="46">
        <f>'a（自動）計算用'!G17</f>
        <v>14.362025973710765</v>
      </c>
      <c r="B42" s="45">
        <f t="shared" si="9"/>
        <v>3944.1677958941418</v>
      </c>
      <c r="C42" s="45">
        <f t="shared" si="9"/>
        <v>3274.286907380083</v>
      </c>
      <c r="D42" s="45">
        <f t="shared" si="9"/>
        <v>2754.4827462017392</v>
      </c>
      <c r="E42" s="45">
        <f t="shared" si="9"/>
        <v>2339.4020260361367</v>
      </c>
      <c r="F42" s="45">
        <f t="shared" si="9"/>
        <v>2000.2934718196802</v>
      </c>
      <c r="G42" s="45">
        <f t="shared" si="9"/>
        <v>1718.0480803358428</v>
      </c>
      <c r="H42" s="47">
        <f t="shared" si="9"/>
        <v>1479.4696630751857</v>
      </c>
      <c r="I42" s="45">
        <f t="shared" si="9"/>
        <v>1275.1520851232322</v>
      </c>
      <c r="J42" s="45">
        <f t="shared" si="9"/>
        <v>1098.2097507905746</v>
      </c>
      <c r="K42" s="45">
        <f t="shared" si="9"/>
        <v>943.48633377833175</v>
      </c>
      <c r="L42" s="45">
        <f t="shared" si="9"/>
        <v>807.04398048483472</v>
      </c>
      <c r="M42" s="45">
        <f t="shared" si="9"/>
        <v>685.82347050507565</v>
      </c>
      <c r="N42" s="45">
        <f t="shared" si="9"/>
        <v>577.41210776587081</v>
      </c>
      <c r="O42" s="45">
        <f t="shared" si="9"/>
        <v>479.88149878372167</v>
      </c>
      <c r="P42" s="45">
        <f t="shared" si="9"/>
        <v>391.67184127472109</v>
      </c>
      <c r="Q42" s="45">
        <f t="shared" si="9"/>
        <v>311.50787522077746</v>
      </c>
    </row>
    <row r="43" spans="1:17">
      <c r="A43" s="46">
        <f>'a（自動）計算用'!G18</f>
        <v>14.893547087821741</v>
      </c>
      <c r="B43" s="45">
        <f t="shared" si="9"/>
        <v>3755.7214849317788</v>
      </c>
      <c r="C43" s="45">
        <f t="shared" si="9"/>
        <v>3117.846481754565</v>
      </c>
      <c r="D43" s="45">
        <f t="shared" si="9"/>
        <v>2622.8777691843957</v>
      </c>
      <c r="E43" s="45">
        <f t="shared" si="9"/>
        <v>2227.6289716231599</v>
      </c>
      <c r="F43" s="45">
        <f t="shared" si="9"/>
        <v>1904.7225060004987</v>
      </c>
      <c r="G43" s="45">
        <f t="shared" si="9"/>
        <v>1635.9623680767722</v>
      </c>
      <c r="H43" s="47">
        <f t="shared" si="9"/>
        <v>1408.7828630669615</v>
      </c>
      <c r="I43" s="45">
        <f t="shared" si="9"/>
        <v>1214.2272668110936</v>
      </c>
      <c r="J43" s="45">
        <f t="shared" si="9"/>
        <v>1045.7389668612457</v>
      </c>
      <c r="K43" s="45">
        <f t="shared" si="9"/>
        <v>898.40799831070376</v>
      </c>
      <c r="L43" s="45">
        <f t="shared" si="9"/>
        <v>768.48465218620925</v>
      </c>
      <c r="M43" s="45">
        <f t="shared" si="9"/>
        <v>653.05587295949817</v>
      </c>
      <c r="N43" s="45">
        <f t="shared" si="9"/>
        <v>549.82423948938606</v>
      </c>
      <c r="O43" s="45">
        <f t="shared" si="9"/>
        <v>456.95349398660807</v>
      </c>
      <c r="P43" s="45">
        <f t="shared" si="9"/>
        <v>372.95835913714768</v>
      </c>
      <c r="Q43" s="45">
        <f t="shared" si="9"/>
        <v>296.62450489809783</v>
      </c>
    </row>
    <row r="44" spans="1:17">
      <c r="A44" s="46">
        <f>'a（自動）計算用'!G19</f>
        <v>15.412805825357026</v>
      </c>
      <c r="B44" s="45">
        <f t="shared" si="9"/>
        <v>3586.264587778629</v>
      </c>
      <c r="C44" s="45">
        <f t="shared" si="9"/>
        <v>2977.170291382693</v>
      </c>
      <c r="D44" s="45">
        <f t="shared" si="9"/>
        <v>2504.5344015621722</v>
      </c>
      <c r="E44" s="45">
        <f t="shared" si="9"/>
        <v>2127.1190975405825</v>
      </c>
      <c r="F44" s="45">
        <f t="shared" si="9"/>
        <v>1818.7820636382025</v>
      </c>
      <c r="G44" s="45">
        <f t="shared" si="9"/>
        <v>1562.1482932403244</v>
      </c>
      <c r="H44" s="47">
        <f t="shared" si="9"/>
        <v>1345.2190515075442</v>
      </c>
      <c r="I44" s="45">
        <f t="shared" si="9"/>
        <v>1159.4417386780631</v>
      </c>
      <c r="J44" s="45">
        <f t="shared" si="9"/>
        <v>998.55557446449382</v>
      </c>
      <c r="K44" s="45">
        <f t="shared" si="9"/>
        <v>857.87212993438573</v>
      </c>
      <c r="L44" s="45">
        <f t="shared" si="9"/>
        <v>733.81088172911734</v>
      </c>
      <c r="M44" s="45">
        <f t="shared" si="9"/>
        <v>623.5902104114756</v>
      </c>
      <c r="N44" s="45">
        <f t="shared" si="9"/>
        <v>525.01635371370423</v>
      </c>
      <c r="O44" s="45">
        <f t="shared" si="9"/>
        <v>436.33590518378242</v>
      </c>
      <c r="P44" s="45">
        <f t="shared" si="9"/>
        <v>356.13060272329335</v>
      </c>
      <c r="Q44" s="45">
        <f t="shared" si="9"/>
        <v>283.24090645468613</v>
      </c>
    </row>
    <row r="45" spans="1:17">
      <c r="A45" s="46">
        <f>'a（自動）計算用'!G20</f>
        <v>15.919929651162615</v>
      </c>
      <c r="B45" s="45">
        <f t="shared" si="9"/>
        <v>3433.2192284881098</v>
      </c>
      <c r="C45" s="45">
        <f t="shared" si="9"/>
        <v>2850.1182890105106</v>
      </c>
      <c r="D45" s="45">
        <f t="shared" si="9"/>
        <v>2397.6523358471122</v>
      </c>
      <c r="E45" s="45">
        <f t="shared" si="9"/>
        <v>2036.3433896783611</v>
      </c>
      <c r="F45" s="45">
        <f t="shared" si="9"/>
        <v>1741.1647692117817</v>
      </c>
      <c r="G45" s="45">
        <f t="shared" si="9"/>
        <v>1495.482953594505</v>
      </c>
      <c r="H45" s="47">
        <f t="shared" si="9"/>
        <v>1287.8112590752664</v>
      </c>
      <c r="I45" s="45">
        <f t="shared" si="9"/>
        <v>1109.9620717072773</v>
      </c>
      <c r="J45" s="45">
        <f t="shared" si="9"/>
        <v>955.94179265200069</v>
      </c>
      <c r="K45" s="45">
        <f t="shared" si="9"/>
        <v>821.26207366621293</v>
      </c>
      <c r="L45" s="45">
        <f t="shared" si="9"/>
        <v>702.49519174119894</v>
      </c>
      <c r="M45" s="45">
        <f t="shared" si="9"/>
        <v>596.9782342266426</v>
      </c>
      <c r="N45" s="45">
        <f t="shared" si="9"/>
        <v>502.61105858814784</v>
      </c>
      <c r="O45" s="45">
        <f t="shared" si="9"/>
        <v>417.71508573622191</v>
      </c>
      <c r="P45" s="45">
        <f t="shared" si="9"/>
        <v>340.93257850782516</v>
      </c>
      <c r="Q45" s="45">
        <f t="shared" si="9"/>
        <v>271.15348088049541</v>
      </c>
    </row>
    <row r="46" spans="1:17">
      <c r="A46" s="46">
        <f>'a（自動）計算用'!G21</f>
        <v>16.415057105306442</v>
      </c>
      <c r="B46" s="45">
        <f t="shared" si="9"/>
        <v>3294.4442688954941</v>
      </c>
      <c r="C46" s="45">
        <f t="shared" si="9"/>
        <v>2734.9129892412366</v>
      </c>
      <c r="D46" s="45">
        <f t="shared" si="9"/>
        <v>2300.7362684828822</v>
      </c>
      <c r="E46" s="45">
        <f t="shared" si="9"/>
        <v>1954.0318759613212</v>
      </c>
      <c r="F46" s="45">
        <f t="shared" si="9"/>
        <v>1670.7847397378534</v>
      </c>
      <c r="G46" s="45">
        <f t="shared" si="9"/>
        <v>1435.0336864068936</v>
      </c>
      <c r="H46" s="47">
        <f t="shared" si="9"/>
        <v>1235.7563381549421</v>
      </c>
      <c r="I46" s="45">
        <f t="shared" si="9"/>
        <v>1065.0960344987109</v>
      </c>
      <c r="J46" s="45">
        <f t="shared" si="9"/>
        <v>917.30144526393315</v>
      </c>
      <c r="K46" s="45">
        <f t="shared" si="9"/>
        <v>788.06564678433108</v>
      </c>
      <c r="L46" s="45">
        <f t="shared" si="9"/>
        <v>674.09946884679391</v>
      </c>
      <c r="M46" s="45">
        <f t="shared" si="9"/>
        <v>572.84763701774955</v>
      </c>
      <c r="N46" s="45">
        <f t="shared" si="9"/>
        <v>482.29489911670981</v>
      </c>
      <c r="O46" s="45">
        <f t="shared" si="9"/>
        <v>400.83052629321838</v>
      </c>
      <c r="P46" s="45">
        <f t="shared" si="9"/>
        <v>327.15166279651919</v>
      </c>
      <c r="Q46" s="45">
        <f t="shared" si="9"/>
        <v>260.193122438964</v>
      </c>
    </row>
    <row r="47" spans="1:17">
      <c r="A47" s="46">
        <f>'a（自動）計算用'!G22</f>
        <v>16.898336786226629</v>
      </c>
      <c r="B47" s="45">
        <f t="shared" si="9"/>
        <v>3168.1476424604739</v>
      </c>
      <c r="C47" s="45">
        <f t="shared" si="9"/>
        <v>2630.0666916742452</v>
      </c>
      <c r="D47" s="45">
        <f t="shared" si="9"/>
        <v>2212.5346765574845</v>
      </c>
      <c r="E47" s="45">
        <f t="shared" si="9"/>
        <v>1879.1216289705144</v>
      </c>
      <c r="F47" s="45">
        <f t="shared" si="9"/>
        <v>1606.7331246838978</v>
      </c>
      <c r="G47" s="45">
        <f t="shared" si="9"/>
        <v>1380.0198817646422</v>
      </c>
      <c r="H47" s="47">
        <f t="shared" si="9"/>
        <v>1188.3820789883152</v>
      </c>
      <c r="I47" s="45">
        <f t="shared" si="9"/>
        <v>1024.2642507418698</v>
      </c>
      <c r="J47" s="45">
        <f t="shared" si="9"/>
        <v>882.13555126031588</v>
      </c>
      <c r="K47" s="45">
        <f t="shared" si="9"/>
        <v>757.85416816321538</v>
      </c>
      <c r="L47" s="45">
        <f t="shared" si="9"/>
        <v>648.25702567639166</v>
      </c>
      <c r="M47" s="45">
        <f t="shared" si="9"/>
        <v>550.88680899595067</v>
      </c>
      <c r="N47" s="45">
        <f t="shared" si="9"/>
        <v>463.805523145059</v>
      </c>
      <c r="O47" s="45">
        <f t="shared" si="9"/>
        <v>385.46418857095983</v>
      </c>
      <c r="P47" s="45">
        <f t="shared" si="9"/>
        <v>314.60989612166196</v>
      </c>
      <c r="Q47" s="45">
        <f t="shared" si="9"/>
        <v>250.21829484940736</v>
      </c>
    </row>
    <row r="48" spans="1:17">
      <c r="A48" s="46">
        <f>'a（自動）計算用'!G23</f>
        <v>17.369926469612402</v>
      </c>
      <c r="B48" s="45">
        <f t="shared" si="9"/>
        <v>3052.8188068335612</v>
      </c>
      <c r="C48" s="45">
        <f t="shared" si="9"/>
        <v>2534.3254057863351</v>
      </c>
      <c r="D48" s="45">
        <f t="shared" si="9"/>
        <v>2131.992644799971</v>
      </c>
      <c r="E48" s="45">
        <f t="shared" si="9"/>
        <v>1810.7167015719263</v>
      </c>
      <c r="F48" s="45">
        <f t="shared" si="9"/>
        <v>1548.2438491370442</v>
      </c>
      <c r="G48" s="45">
        <f t="shared" si="9"/>
        <v>1329.783559450351</v>
      </c>
      <c r="H48" s="47">
        <f t="shared" si="9"/>
        <v>1145.1218724206783</v>
      </c>
      <c r="I48" s="45">
        <f t="shared" si="9"/>
        <v>986.97836108535398</v>
      </c>
      <c r="J48" s="45">
        <f t="shared" si="9"/>
        <v>850.02351688778072</v>
      </c>
      <c r="K48" s="45">
        <f t="shared" si="9"/>
        <v>730.26630021859307</v>
      </c>
      <c r="L48" s="45">
        <f t="shared" si="9"/>
        <v>624.65877951001005</v>
      </c>
      <c r="M48" s="45">
        <f t="shared" si="9"/>
        <v>530.8330926248326</v>
      </c>
      <c r="N48" s="45">
        <f t="shared" si="9"/>
        <v>446.92179265700992</v>
      </c>
      <c r="O48" s="45">
        <f t="shared" si="9"/>
        <v>371.43228694871209</v>
      </c>
      <c r="P48" s="45">
        <f t="shared" si="9"/>
        <v>303.15727550823743</v>
      </c>
      <c r="Q48" s="45">
        <f t="shared" si="9"/>
        <v>241.10969643348184</v>
      </c>
    </row>
    <row r="49" spans="1:17">
      <c r="A49" s="46">
        <f>'a（自動）計算用'!G24</f>
        <v>17.829992315883583</v>
      </c>
      <c r="B49" s="45">
        <f t="shared" si="9"/>
        <v>2947.1761645183242</v>
      </c>
      <c r="C49" s="45">
        <f t="shared" si="9"/>
        <v>2446.6252017144138</v>
      </c>
      <c r="D49" s="45">
        <f t="shared" si="9"/>
        <v>2058.2151458245471</v>
      </c>
      <c r="E49" s="45">
        <f t="shared" si="9"/>
        <v>1748.0569405634449</v>
      </c>
      <c r="F49" s="45">
        <f t="shared" si="9"/>
        <v>1494.6669480759563</v>
      </c>
      <c r="G49" s="45">
        <f t="shared" si="9"/>
        <v>1283.7664658012832</v>
      </c>
      <c r="H49" s="47">
        <f t="shared" si="9"/>
        <v>1105.4949872270013</v>
      </c>
      <c r="I49" s="45">
        <f t="shared" si="9"/>
        <v>952.8240242018079</v>
      </c>
      <c r="J49" s="45">
        <f t="shared" si="9"/>
        <v>820.60849554648587</v>
      </c>
      <c r="K49" s="45">
        <f t="shared" si="9"/>
        <v>704.99547137799027</v>
      </c>
      <c r="L49" s="45">
        <f t="shared" si="9"/>
        <v>603.04249364819202</v>
      </c>
      <c r="M49" s="45">
        <f t="shared" si="9"/>
        <v>512.46363997086996</v>
      </c>
      <c r="N49" s="45">
        <f t="shared" si="9"/>
        <v>431.45608634687352</v>
      </c>
      <c r="O49" s="45">
        <f t="shared" si="9"/>
        <v>358.57889121273894</v>
      </c>
      <c r="P49" s="45">
        <f t="shared" si="9"/>
        <v>292.66653313266988</v>
      </c>
      <c r="Q49" s="45">
        <f t="shared" si="9"/>
        <v>232.76610743237859</v>
      </c>
    </row>
    <row r="50" spans="1:17">
      <c r="A50" s="46">
        <f>'a（自動）計算用'!G25</f>
        <v>18.278708131736447</v>
      </c>
      <c r="B50" s="45">
        <f t="shared" si="9"/>
        <v>2850.1257469564534</v>
      </c>
      <c r="C50" s="45">
        <f t="shared" si="9"/>
        <v>2366.0579114714883</v>
      </c>
      <c r="D50" s="45">
        <f t="shared" si="9"/>
        <v>1990.4381863949482</v>
      </c>
      <c r="E50" s="45">
        <f t="shared" si="9"/>
        <v>1690.4934809894783</v>
      </c>
      <c r="F50" s="45">
        <f t="shared" si="9"/>
        <v>1445.4476129126624</v>
      </c>
      <c r="G50" s="45">
        <f t="shared" si="9"/>
        <v>1241.4920768258605</v>
      </c>
      <c r="H50" s="47">
        <f t="shared" si="9"/>
        <v>1069.091072383156</v>
      </c>
      <c r="I50" s="45">
        <f t="shared" si="9"/>
        <v>921.44755932500243</v>
      </c>
      <c r="J50" s="45">
        <f t="shared" si="9"/>
        <v>793.58588383212259</v>
      </c>
      <c r="K50" s="45">
        <f t="shared" si="9"/>
        <v>681.77999288023841</v>
      </c>
      <c r="L50" s="45">
        <f t="shared" si="9"/>
        <v>583.18432347135968</v>
      </c>
      <c r="M50" s="45">
        <f t="shared" si="9"/>
        <v>495.58822857089422</v>
      </c>
      <c r="N50" s="45">
        <f t="shared" si="9"/>
        <v>417.24825111676665</v>
      </c>
      <c r="O50" s="45">
        <f t="shared" si="9"/>
        <v>346.77089970546621</v>
      </c>
      <c r="P50" s="45">
        <f t="shared" si="9"/>
        <v>283.02903348508676</v>
      </c>
      <c r="Q50" s="45">
        <f t="shared" si="9"/>
        <v>225.10112690202212</v>
      </c>
    </row>
    <row r="51" spans="1:17">
      <c r="A51" s="46">
        <f>'a（自動）計算用'!G26</f>
        <v>18.716254661483859</v>
      </c>
      <c r="B51" s="45">
        <f t="shared" si="9"/>
        <v>2760.728463856834</v>
      </c>
      <c r="C51" s="45">
        <f t="shared" si="9"/>
        <v>2291.8439406781699</v>
      </c>
      <c r="D51" s="45">
        <f t="shared" si="9"/>
        <v>1928.0059353858628</v>
      </c>
      <c r="E51" s="45">
        <f t="shared" si="9"/>
        <v>1637.469320753931</v>
      </c>
      <c r="F51" s="45">
        <f t="shared" si="9"/>
        <v>1400.1095819169384</v>
      </c>
      <c r="G51" s="45">
        <f t="shared" si="9"/>
        <v>1202.5513322722372</v>
      </c>
      <c r="H51" s="47">
        <f t="shared" si="9"/>
        <v>1035.5578721869288</v>
      </c>
      <c r="I51" s="45">
        <f t="shared" si="9"/>
        <v>892.54535793603009</v>
      </c>
      <c r="J51" s="45">
        <f t="shared" si="9"/>
        <v>768.69420247505934</v>
      </c>
      <c r="K51" s="45">
        <f t="shared" si="9"/>
        <v>660.39522447124568</v>
      </c>
      <c r="L51" s="45">
        <f t="shared" si="9"/>
        <v>564.89211509413201</v>
      </c>
      <c r="M51" s="45">
        <f t="shared" si="9"/>
        <v>480.04356664932743</v>
      </c>
      <c r="N51" s="45">
        <f t="shared" si="9"/>
        <v>404.16080749511627</v>
      </c>
      <c r="O51" s="45">
        <f t="shared" si="9"/>
        <v>335.89405459616415</v>
      </c>
      <c r="P51" s="45">
        <f t="shared" si="9"/>
        <v>274.15152109501167</v>
      </c>
      <c r="Q51" s="45">
        <f t="shared" si="9"/>
        <v>218.0405860858169</v>
      </c>
    </row>
    <row r="52" spans="1:17">
      <c r="A52" s="46">
        <f>'a（自動）計算用'!G27</f>
        <v>19.142818892220774</v>
      </c>
      <c r="B52" s="45">
        <f t="shared" si="9"/>
        <v>2678.1739297478921</v>
      </c>
      <c r="C52" s="45">
        <f t="shared" si="9"/>
        <v>2223.3105404361313</v>
      </c>
      <c r="D52" s="45">
        <f t="shared" si="9"/>
        <v>1870.3524450702325</v>
      </c>
      <c r="E52" s="45">
        <f t="shared" si="9"/>
        <v>1588.5037963779209</v>
      </c>
      <c r="F52" s="45">
        <f t="shared" si="9"/>
        <v>1358.2418662941054</v>
      </c>
      <c r="G52" s="45">
        <f t="shared" si="9"/>
        <v>1166.5912346829473</v>
      </c>
      <c r="H52" s="47">
        <f t="shared" si="9"/>
        <v>1004.5914085160297</v>
      </c>
      <c r="I52" s="45">
        <f t="shared" si="9"/>
        <v>865.8554218701812</v>
      </c>
      <c r="J52" s="45">
        <f t="shared" si="9"/>
        <v>745.70780863431241</v>
      </c>
      <c r="K52" s="45">
        <f t="shared" si="9"/>
        <v>640.64731344060795</v>
      </c>
      <c r="L52" s="45">
        <f t="shared" si="9"/>
        <v>548.00004983166821</v>
      </c>
      <c r="M52" s="45">
        <f t="shared" si="9"/>
        <v>465.68874200229715</v>
      </c>
      <c r="N52" s="45">
        <f t="shared" si="9"/>
        <v>392.07511793720857</v>
      </c>
      <c r="O52" s="45">
        <f t="shared" si="9"/>
        <v>325.849757393385</v>
      </c>
      <c r="P52" s="45">
        <f t="shared" si="9"/>
        <v>265.9535214019748</v>
      </c>
      <c r="Q52" s="45">
        <f t="shared" si="9"/>
        <v>211.52048125232366</v>
      </c>
    </row>
    <row r="53" spans="1:17">
      <c r="A53" s="46">
        <f>'a（自動）計算用'!G28</f>
        <v>19.558593363470184</v>
      </c>
      <c r="B53" s="45">
        <f t="shared" si="9"/>
        <v>2601.759387145632</v>
      </c>
      <c r="C53" s="45">
        <f t="shared" si="9"/>
        <v>2159.8743102036151</v>
      </c>
      <c r="D53" s="45">
        <f t="shared" si="9"/>
        <v>1816.986931722668</v>
      </c>
      <c r="E53" s="45">
        <f t="shared" si="9"/>
        <v>1543.1800817102935</v>
      </c>
      <c r="F53" s="45">
        <f t="shared" si="9"/>
        <v>1319.4880610228122</v>
      </c>
      <c r="G53" s="45">
        <f t="shared" si="9"/>
        <v>1133.3056684947594</v>
      </c>
      <c r="H53" s="47">
        <f t="shared" si="9"/>
        <v>975.92807484257457</v>
      </c>
      <c r="I53" s="45">
        <f t="shared" si="9"/>
        <v>841.15054916308077</v>
      </c>
      <c r="J53" s="45">
        <f t="shared" si="9"/>
        <v>724.43102728759516</v>
      </c>
      <c r="K53" s="45">
        <f t="shared" si="9"/>
        <v>622.36815282218652</v>
      </c>
      <c r="L53" s="45">
        <f t="shared" si="9"/>
        <v>532.3643315204813</v>
      </c>
      <c r="M53" s="45">
        <f t="shared" si="9"/>
        <v>452.40155709624543</v>
      </c>
      <c r="N53" s="45">
        <f t="shared" si="9"/>
        <v>380.8883012521103</v>
      </c>
      <c r="O53" s="45">
        <f t="shared" si="9"/>
        <v>316.55250455565886</v>
      </c>
      <c r="P53" s="45">
        <f t="shared" si="9"/>
        <v>258.36524774070989</v>
      </c>
      <c r="Q53" s="45">
        <f t="shared" si="9"/>
        <v>205.48530906041614</v>
      </c>
    </row>
    <row r="54" spans="1:17">
      <c r="A54" s="46">
        <f>'a（自動）計算用'!G29</f>
        <v>19.963775477128916</v>
      </c>
      <c r="B54" s="45">
        <f t="shared" ref="B54:Q69" si="10">B$25*$A54^B$24</f>
        <v>2530.8726125482949</v>
      </c>
      <c r="C54" s="45">
        <f t="shared" si="10"/>
        <v>2101.0270070508227</v>
      </c>
      <c r="D54" s="45">
        <f t="shared" si="10"/>
        <v>1767.4818377037172</v>
      </c>
      <c r="E54" s="45">
        <f t="shared" si="10"/>
        <v>1501.1350489698486</v>
      </c>
      <c r="F54" s="45">
        <f t="shared" si="10"/>
        <v>1283.5376755921991</v>
      </c>
      <c r="G54" s="45">
        <f t="shared" si="10"/>
        <v>1102.4279540260864</v>
      </c>
      <c r="H54" s="47">
        <f t="shared" si="10"/>
        <v>949.33822421827222</v>
      </c>
      <c r="I54" s="45">
        <f t="shared" si="10"/>
        <v>818.2328075473331</v>
      </c>
      <c r="J54" s="45">
        <f t="shared" si="10"/>
        <v>704.69339159523713</v>
      </c>
      <c r="K54" s="45">
        <f t="shared" si="10"/>
        <v>605.41129232861545</v>
      </c>
      <c r="L54" s="45">
        <f t="shared" si="10"/>
        <v>517.8596887934857</v>
      </c>
      <c r="M54" s="45">
        <f t="shared" si="10"/>
        <v>440.07555671211736</v>
      </c>
      <c r="N54" s="45">
        <f t="shared" si="10"/>
        <v>370.51073010121218</v>
      </c>
      <c r="O54" s="45">
        <f t="shared" si="10"/>
        <v>307.92780768725333</v>
      </c>
      <c r="P54" s="45">
        <f t="shared" si="10"/>
        <v>251.32590383717016</v>
      </c>
      <c r="Q54" s="45">
        <f t="shared" si="10"/>
        <v>199.88671648556226</v>
      </c>
    </row>
    <row r="55" spans="1:17">
      <c r="A55" s="46">
        <f>'a（自動）計算用'!G30</f>
        <v>20.358566807421841</v>
      </c>
      <c r="B55" s="45">
        <f t="shared" si="10"/>
        <v>2464.9779595584337</v>
      </c>
      <c r="C55" s="45">
        <f t="shared" si="10"/>
        <v>2046.3239592302762</v>
      </c>
      <c r="D55" s="45">
        <f t="shared" si="10"/>
        <v>1721.4630844152618</v>
      </c>
      <c r="E55" s="45">
        <f t="shared" si="10"/>
        <v>1462.0509905101901</v>
      </c>
      <c r="F55" s="45">
        <f t="shared" si="10"/>
        <v>1250.1190557402103</v>
      </c>
      <c r="G55" s="45">
        <f t="shared" si="10"/>
        <v>1073.7247679721161</v>
      </c>
      <c r="H55" s="47">
        <f t="shared" si="10"/>
        <v>924.62093400591061</v>
      </c>
      <c r="I55" s="45">
        <f t="shared" si="10"/>
        <v>796.92902218455936</v>
      </c>
      <c r="J55" s="45">
        <f t="shared" si="10"/>
        <v>686.345756762419</v>
      </c>
      <c r="K55" s="45">
        <f t="shared" si="10"/>
        <v>589.64859971961471</v>
      </c>
      <c r="L55" s="45">
        <f t="shared" si="10"/>
        <v>504.37651926480481</v>
      </c>
      <c r="M55" s="45">
        <f t="shared" si="10"/>
        <v>428.61760108247125</v>
      </c>
      <c r="N55" s="45">
        <f t="shared" si="10"/>
        <v>360.86398776104483</v>
      </c>
      <c r="O55" s="45">
        <f t="shared" si="10"/>
        <v>299.91049542393489</v>
      </c>
      <c r="P55" s="45">
        <f t="shared" si="10"/>
        <v>244.7822978340065</v>
      </c>
      <c r="Q55" s="45">
        <f t="shared" si="10"/>
        <v>194.68239851444292</v>
      </c>
    </row>
    <row r="56" spans="1:17">
      <c r="A56" s="46">
        <f>'a（自動）計算用'!G31</f>
        <v>20.743172413359066</v>
      </c>
      <c r="B56" s="45">
        <f t="shared" si="10"/>
        <v>2403.6048913751752</v>
      </c>
      <c r="C56" s="45">
        <f t="shared" si="10"/>
        <v>1995.3745463205669</v>
      </c>
      <c r="D56" s="45">
        <f t="shared" si="10"/>
        <v>1678.6020637537601</v>
      </c>
      <c r="E56" s="45">
        <f t="shared" si="10"/>
        <v>1425.6488171033102</v>
      </c>
      <c r="F56" s="45">
        <f t="shared" si="10"/>
        <v>1218.9935676815346</v>
      </c>
      <c r="G56" s="45">
        <f t="shared" si="10"/>
        <v>1046.9911482497673</v>
      </c>
      <c r="H56" s="47">
        <f t="shared" si="10"/>
        <v>901.59970438137543</v>
      </c>
      <c r="I56" s="45">
        <f t="shared" si="10"/>
        <v>777.08706821247915</v>
      </c>
      <c r="J56" s="45">
        <f t="shared" si="10"/>
        <v>669.25710703890752</v>
      </c>
      <c r="K56" s="45">
        <f t="shared" si="10"/>
        <v>574.96751765377849</v>
      </c>
      <c r="L56" s="45">
        <f t="shared" si="10"/>
        <v>491.81854308216231</v>
      </c>
      <c r="M56" s="45">
        <f t="shared" si="10"/>
        <v>417.94587188758157</v>
      </c>
      <c r="N56" s="45">
        <f t="shared" si="10"/>
        <v>351.87918932101798</v>
      </c>
      <c r="O56" s="45">
        <f t="shared" si="10"/>
        <v>292.44331819699318</v>
      </c>
      <c r="P56" s="45">
        <f t="shared" si="10"/>
        <v>238.68770352059025</v>
      </c>
      <c r="Q56" s="45">
        <f t="shared" si="10"/>
        <v>189.83519244845132</v>
      </c>
    </row>
    <row r="57" spans="1:17">
      <c r="A57" s="46">
        <f>'a（自動）計算用'!G32</f>
        <v>21.117800158034136</v>
      </c>
      <c r="B57" s="45">
        <f t="shared" si="10"/>
        <v>2346.3385024498912</v>
      </c>
      <c r="C57" s="45">
        <f t="shared" si="10"/>
        <v>1947.8343306922698</v>
      </c>
      <c r="D57" s="45">
        <f t="shared" si="10"/>
        <v>1638.6090187326588</v>
      </c>
      <c r="E57" s="45">
        <f t="shared" si="10"/>
        <v>1391.6824360545518</v>
      </c>
      <c r="F57" s="45">
        <f t="shared" si="10"/>
        <v>1189.9507911441931</v>
      </c>
      <c r="G57" s="45">
        <f t="shared" si="10"/>
        <v>1022.0463653063871</v>
      </c>
      <c r="H57" s="47">
        <f t="shared" si="10"/>
        <v>880.1189029770793</v>
      </c>
      <c r="I57" s="45">
        <f t="shared" si="10"/>
        <v>758.57280638985321</v>
      </c>
      <c r="J57" s="45">
        <f t="shared" si="10"/>
        <v>653.31191657926706</v>
      </c>
      <c r="K57" s="45">
        <f t="shared" si="10"/>
        <v>561.26879636912997</v>
      </c>
      <c r="L57" s="45">
        <f t="shared" si="10"/>
        <v>480.10086349602381</v>
      </c>
      <c r="M57" s="45">
        <f t="shared" si="10"/>
        <v>407.98822413311325</v>
      </c>
      <c r="N57" s="45">
        <f t="shared" si="10"/>
        <v>343.49559408759251</v>
      </c>
      <c r="O57" s="45">
        <f t="shared" si="10"/>
        <v>285.4757950160564</v>
      </c>
      <c r="P57" s="45">
        <f t="shared" si="10"/>
        <v>233.0009190950216</v>
      </c>
      <c r="Q57" s="45">
        <f t="shared" si="10"/>
        <v>185.31232931005945</v>
      </c>
    </row>
    <row r="58" spans="1:17">
      <c r="A58" s="46">
        <f>'a（自動）計算用'!G33</f>
        <v>21.482660040158859</v>
      </c>
      <c r="B58" s="45">
        <f t="shared" si="10"/>
        <v>2292.8116400738318</v>
      </c>
      <c r="C58" s="45">
        <f t="shared" si="10"/>
        <v>1903.3985171719844</v>
      </c>
      <c r="D58" s="45">
        <f t="shared" si="10"/>
        <v>1601.2275414469677</v>
      </c>
      <c r="E58" s="45">
        <f t="shared" si="10"/>
        <v>1359.9340782843105</v>
      </c>
      <c r="F58" s="45">
        <f t="shared" si="10"/>
        <v>1162.8045238151813</v>
      </c>
      <c r="G58" s="45">
        <f t="shared" si="10"/>
        <v>998.73049034606697</v>
      </c>
      <c r="H58" s="47">
        <f t="shared" si="10"/>
        <v>860.04080966486822</v>
      </c>
      <c r="I58" s="45">
        <f t="shared" si="10"/>
        <v>741.26753600049767</v>
      </c>
      <c r="J58" s="45">
        <f t="shared" si="10"/>
        <v>638.40795578637005</v>
      </c>
      <c r="K58" s="45">
        <f t="shared" si="10"/>
        <v>548.46460908419306</v>
      </c>
      <c r="L58" s="45">
        <f t="shared" si="10"/>
        <v>469.14835480209643</v>
      </c>
      <c r="M58" s="45">
        <f t="shared" si="10"/>
        <v>398.68081622865964</v>
      </c>
      <c r="N58" s="45">
        <f t="shared" si="10"/>
        <v>335.65945221278992</v>
      </c>
      <c r="O58" s="45">
        <f t="shared" si="10"/>
        <v>278.96325491343879</v>
      </c>
      <c r="P58" s="45">
        <f t="shared" si="10"/>
        <v>227.68548480586327</v>
      </c>
      <c r="Q58" s="45">
        <f t="shared" si="10"/>
        <v>181.08481161079757</v>
      </c>
    </row>
    <row r="59" spans="1:17">
      <c r="A59" s="46">
        <f>'a（自動）計算用'!G34</f>
        <v>21.837963543650535</v>
      </c>
      <c r="B59" s="45">
        <f t="shared" si="10"/>
        <v>2242.6983208366951</v>
      </c>
      <c r="C59" s="45">
        <f t="shared" si="10"/>
        <v>1861.7964876553071</v>
      </c>
      <c r="D59" s="45">
        <f t="shared" si="10"/>
        <v>1566.2299753349762</v>
      </c>
      <c r="E59" s="45">
        <f t="shared" si="10"/>
        <v>1330.2103934358122</v>
      </c>
      <c r="F59" s="45">
        <f t="shared" si="10"/>
        <v>1137.3894424827868</v>
      </c>
      <c r="G59" s="45">
        <f t="shared" si="10"/>
        <v>976.90152759142779</v>
      </c>
      <c r="H59" s="47">
        <f t="shared" si="10"/>
        <v>841.24314704906203</v>
      </c>
      <c r="I59" s="45">
        <f t="shared" si="10"/>
        <v>725.06586638993929</v>
      </c>
      <c r="J59" s="45">
        <f t="shared" si="10"/>
        <v>624.45445819734869</v>
      </c>
      <c r="K59" s="45">
        <f t="shared" si="10"/>
        <v>536.47697714578283</v>
      </c>
      <c r="L59" s="45">
        <f t="shared" si="10"/>
        <v>458.89431523650092</v>
      </c>
      <c r="M59" s="45">
        <f t="shared" si="10"/>
        <v>389.96696522223954</v>
      </c>
      <c r="N59" s="45">
        <f t="shared" si="10"/>
        <v>328.32304088719127</v>
      </c>
      <c r="O59" s="45">
        <f t="shared" si="10"/>
        <v>272.86603593366351</v>
      </c>
      <c r="P59" s="45">
        <f t="shared" si="10"/>
        <v>222.70902917980447</v>
      </c>
      <c r="Q59" s="45">
        <f t="shared" si="10"/>
        <v>177.12689338732045</v>
      </c>
    </row>
    <row r="60" spans="1:17">
      <c r="A60" s="46">
        <f>'a（自動）計算用'!G35</f>
        <v>22.183923011010634</v>
      </c>
      <c r="B60" s="45">
        <f t="shared" si="10"/>
        <v>2195.7082012398469</v>
      </c>
      <c r="C60" s="45">
        <f t="shared" si="10"/>
        <v>1822.7872108359104</v>
      </c>
      <c r="D60" s="45">
        <f t="shared" si="10"/>
        <v>1533.4135536284214</v>
      </c>
      <c r="E60" s="45">
        <f t="shared" si="10"/>
        <v>1302.3391702330412</v>
      </c>
      <c r="F60" s="45">
        <f t="shared" si="10"/>
        <v>1113.5582987957841</v>
      </c>
      <c r="G60" s="45">
        <f t="shared" si="10"/>
        <v>956.43300572677549</v>
      </c>
      <c r="H60" s="47">
        <f t="shared" si="10"/>
        <v>823.61700637619754</v>
      </c>
      <c r="I60" s="45">
        <f t="shared" si="10"/>
        <v>709.87392931097247</v>
      </c>
      <c r="J60" s="45">
        <f t="shared" si="10"/>
        <v>611.3705808872113</v>
      </c>
      <c r="K60" s="45">
        <f t="shared" si="10"/>
        <v>525.23644734165339</v>
      </c>
      <c r="L60" s="45">
        <f t="shared" si="10"/>
        <v>449.27933556895823</v>
      </c>
      <c r="M60" s="45">
        <f t="shared" si="10"/>
        <v>381.79618533429783</v>
      </c>
      <c r="N60" s="45">
        <f t="shared" si="10"/>
        <v>321.44385485742055</v>
      </c>
      <c r="O60" s="45">
        <f t="shared" si="10"/>
        <v>267.1488123805388</v>
      </c>
      <c r="P60" s="45">
        <f t="shared" si="10"/>
        <v>218.04271993115231</v>
      </c>
      <c r="Q60" s="45">
        <f t="shared" si="10"/>
        <v>173.41564349394059</v>
      </c>
    </row>
    <row r="61" spans="1:17">
      <c r="A61" s="46">
        <f>'a（自動）計算用'!G36</f>
        <v>22.520751045788124</v>
      </c>
      <c r="B61" s="45">
        <f t="shared" si="10"/>
        <v>2151.58191130347</v>
      </c>
      <c r="C61" s="45">
        <f t="shared" si="10"/>
        <v>1786.1553683569111</v>
      </c>
      <c r="D61" s="45">
        <f t="shared" si="10"/>
        <v>1502.5971404904781</v>
      </c>
      <c r="E61" s="45">
        <f t="shared" si="10"/>
        <v>1276.1665687057739</v>
      </c>
      <c r="F61" s="45">
        <f t="shared" si="10"/>
        <v>1091.1795526919191</v>
      </c>
      <c r="G61" s="45">
        <f t="shared" si="10"/>
        <v>937.21194525453757</v>
      </c>
      <c r="H61" s="47">
        <f t="shared" si="10"/>
        <v>807.06509715649122</v>
      </c>
      <c r="I61" s="45">
        <f t="shared" si="10"/>
        <v>695.60787027573122</v>
      </c>
      <c r="J61" s="45">
        <f t="shared" si="10"/>
        <v>599.08410516353956</v>
      </c>
      <c r="K61" s="45">
        <f t="shared" si="10"/>
        <v>514.68097565034986</v>
      </c>
      <c r="L61" s="45">
        <f t="shared" si="10"/>
        <v>440.25034427924862</v>
      </c>
      <c r="M61" s="45">
        <f t="shared" si="10"/>
        <v>374.12337655162321</v>
      </c>
      <c r="N61" s="45">
        <f t="shared" si="10"/>
        <v>314.98392328286258</v>
      </c>
      <c r="O61" s="45">
        <f t="shared" si="10"/>
        <v>261.78002706352538</v>
      </c>
      <c r="P61" s="45">
        <f t="shared" si="10"/>
        <v>213.66080057011638</v>
      </c>
      <c r="Q61" s="45">
        <f t="shared" si="10"/>
        <v>169.93057705387537</v>
      </c>
    </row>
    <row r="62" spans="1:17">
      <c r="A62" s="46">
        <f>'a（自動）計算用'!G37</f>
        <v>22.848659948719757</v>
      </c>
      <c r="B62" s="45">
        <f t="shared" si="10"/>
        <v>2110.0870984393309</v>
      </c>
      <c r="C62" s="45">
        <f t="shared" si="10"/>
        <v>1751.7080705957273</v>
      </c>
      <c r="D62" s="45">
        <f t="shared" si="10"/>
        <v>1473.6184681809168</v>
      </c>
      <c r="E62" s="45">
        <f t="shared" si="10"/>
        <v>1251.554773694058</v>
      </c>
      <c r="F62" s="45">
        <f t="shared" si="10"/>
        <v>1070.1353660391803</v>
      </c>
      <c r="G62" s="45">
        <f t="shared" si="10"/>
        <v>919.13713523774709</v>
      </c>
      <c r="H62" s="47">
        <f t="shared" si="10"/>
        <v>791.50026320815289</v>
      </c>
      <c r="I62" s="45">
        <f t="shared" si="10"/>
        <v>682.19256953710976</v>
      </c>
      <c r="J62" s="45">
        <f t="shared" si="10"/>
        <v>587.53033502676544</v>
      </c>
      <c r="K62" s="45">
        <f t="shared" si="10"/>
        <v>504.75498089405181</v>
      </c>
      <c r="L62" s="45">
        <f t="shared" si="10"/>
        <v>431.75979806612622</v>
      </c>
      <c r="M62" s="45">
        <f t="shared" si="10"/>
        <v>366.90813672433507</v>
      </c>
      <c r="N62" s="45">
        <f t="shared" si="10"/>
        <v>308.90923057273631</v>
      </c>
      <c r="O62" s="45">
        <f t="shared" si="10"/>
        <v>256.73140996114904</v>
      </c>
      <c r="P62" s="45">
        <f t="shared" si="10"/>
        <v>209.54019754334709</v>
      </c>
      <c r="Q62" s="45">
        <f t="shared" si="10"/>
        <v>166.65334300682301</v>
      </c>
    </row>
    <row r="63" spans="1:17">
      <c r="A63" s="46">
        <f>'a（自動）計算用'!G38</f>
        <v>23.167861191282384</v>
      </c>
      <c r="B63" s="45">
        <f t="shared" si="10"/>
        <v>2071.0150588641677</v>
      </c>
      <c r="C63" s="45">
        <f t="shared" si="10"/>
        <v>1719.2720602011466</v>
      </c>
      <c r="D63" s="45">
        <f t="shared" si="10"/>
        <v>1446.3317845411555</v>
      </c>
      <c r="E63" s="45">
        <f t="shared" si="10"/>
        <v>1228.3799968403316</v>
      </c>
      <c r="F63" s="45">
        <f t="shared" si="10"/>
        <v>1050.3198942496083</v>
      </c>
      <c r="G63" s="45">
        <f t="shared" si="10"/>
        <v>902.11766597054338</v>
      </c>
      <c r="H63" s="47">
        <f t="shared" si="10"/>
        <v>776.84421909002413</v>
      </c>
      <c r="I63" s="45">
        <f t="shared" si="10"/>
        <v>669.56055302245954</v>
      </c>
      <c r="J63" s="45">
        <f t="shared" si="10"/>
        <v>576.65115922461337</v>
      </c>
      <c r="K63" s="45">
        <f t="shared" si="10"/>
        <v>495.40853893730048</v>
      </c>
      <c r="L63" s="45">
        <f t="shared" si="10"/>
        <v>423.76499257706308</v>
      </c>
      <c r="M63" s="45">
        <f t="shared" si="10"/>
        <v>360.114175826159</v>
      </c>
      <c r="N63" s="45">
        <f t="shared" si="10"/>
        <v>303.18922323702105</v>
      </c>
      <c r="O63" s="45">
        <f t="shared" si="10"/>
        <v>251.97756836967702</v>
      </c>
      <c r="P63" s="45">
        <f t="shared" si="10"/>
        <v>205.66018571963775</v>
      </c>
      <c r="Q63" s="45">
        <f t="shared" si="10"/>
        <v>163.56745806012489</v>
      </c>
    </row>
    <row r="64" spans="1:17">
      <c r="A64" s="46">
        <f>'a（自動）計算用'!G39</f>
        <v>23.478564929459516</v>
      </c>
      <c r="B64" s="45">
        <f t="shared" si="10"/>
        <v>2034.1778573975057</v>
      </c>
      <c r="C64" s="45">
        <f t="shared" si="10"/>
        <v>1688.6913210671844</v>
      </c>
      <c r="D64" s="45">
        <f t="shared" si="10"/>
        <v>1420.6058415516343</v>
      </c>
      <c r="E64" s="45">
        <f t="shared" si="10"/>
        <v>1206.53076825672</v>
      </c>
      <c r="F64" s="45">
        <f t="shared" si="10"/>
        <v>1031.6378255783472</v>
      </c>
      <c r="G64" s="45">
        <f t="shared" si="10"/>
        <v>886.07167438503689</v>
      </c>
      <c r="H64" s="47">
        <f t="shared" si="10"/>
        <v>763.0264697287397</v>
      </c>
      <c r="I64" s="45">
        <f t="shared" si="10"/>
        <v>657.6510611622964</v>
      </c>
      <c r="J64" s="45">
        <f t="shared" si="10"/>
        <v>566.3942492917655</v>
      </c>
      <c r="K64" s="45">
        <f t="shared" si="10"/>
        <v>486.5966937124054</v>
      </c>
      <c r="L64" s="45">
        <f t="shared" si="10"/>
        <v>416.22747306977317</v>
      </c>
      <c r="M64" s="45">
        <f t="shared" si="10"/>
        <v>353.70881513641854</v>
      </c>
      <c r="N64" s="45">
        <f t="shared" si="10"/>
        <v>297.79638823512187</v>
      </c>
      <c r="O64" s="45">
        <f t="shared" si="10"/>
        <v>247.49563647285919</v>
      </c>
      <c r="P64" s="45">
        <f t="shared" si="10"/>
        <v>202.00210237417892</v>
      </c>
      <c r="Q64" s="45">
        <f t="shared" si="10"/>
        <v>160.65807921222063</v>
      </c>
    </row>
    <row r="65" spans="1:17">
      <c r="A65" s="46">
        <f>'a（自動）計算用'!G40</f>
        <v>23.780979559582203</v>
      </c>
      <c r="B65" s="45">
        <f t="shared" si="10"/>
        <v>1999.4058551113219</v>
      </c>
      <c r="C65" s="45">
        <f t="shared" si="10"/>
        <v>1659.82502588888</v>
      </c>
      <c r="D65" s="45">
        <f t="shared" si="10"/>
        <v>1396.3221687200964</v>
      </c>
      <c r="E65" s="45">
        <f t="shared" si="10"/>
        <v>1185.9064701012733</v>
      </c>
      <c r="F65" s="45">
        <f t="shared" si="10"/>
        <v>1014.0031272656746</v>
      </c>
      <c r="G65" s="45">
        <f t="shared" si="10"/>
        <v>870.92526711519383</v>
      </c>
      <c r="H65" s="47">
        <f t="shared" si="10"/>
        <v>749.983383032392</v>
      </c>
      <c r="I65" s="45">
        <f t="shared" si="10"/>
        <v>646.40924957778566</v>
      </c>
      <c r="J65" s="45">
        <f t="shared" si="10"/>
        <v>556.71237115134977</v>
      </c>
      <c r="K65" s="45">
        <f t="shared" si="10"/>
        <v>478.27886580729569</v>
      </c>
      <c r="L65" s="45">
        <f t="shared" si="10"/>
        <v>409.11252852717979</v>
      </c>
      <c r="M65" s="45">
        <f t="shared" si="10"/>
        <v>347.66255734050372</v>
      </c>
      <c r="N65" s="45">
        <f t="shared" si="10"/>
        <v>292.70589103259266</v>
      </c>
      <c r="O65" s="45">
        <f t="shared" si="10"/>
        <v>243.26497453444586</v>
      </c>
      <c r="P65" s="45">
        <f t="shared" si="10"/>
        <v>198.54910167415395</v>
      </c>
      <c r="Q65" s="45">
        <f t="shared" si="10"/>
        <v>157.91180848798396</v>
      </c>
    </row>
    <row r="66" spans="1:17">
      <c r="A66" s="46">
        <f>'a（自動）計算用'!G41</f>
        <v>24.075311317201503</v>
      </c>
      <c r="B66" s="45">
        <f t="shared" si="10"/>
        <v>1966.545579097517</v>
      </c>
      <c r="C66" s="45">
        <f t="shared" si="10"/>
        <v>1632.5457677303145</v>
      </c>
      <c r="D66" s="45">
        <f t="shared" si="10"/>
        <v>1373.3735853941853</v>
      </c>
      <c r="E66" s="45">
        <f t="shared" si="10"/>
        <v>1166.4160730743451</v>
      </c>
      <c r="F66" s="45">
        <f t="shared" si="10"/>
        <v>997.33796518483427</v>
      </c>
      <c r="G66" s="45">
        <f t="shared" si="10"/>
        <v>856.61159258451255</v>
      </c>
      <c r="H66" s="47">
        <f t="shared" si="10"/>
        <v>737.65739083365486</v>
      </c>
      <c r="I66" s="45">
        <f t="shared" si="10"/>
        <v>635.78550037514071</v>
      </c>
      <c r="J66" s="45">
        <f t="shared" si="10"/>
        <v>547.56279197533274</v>
      </c>
      <c r="K66" s="45">
        <f t="shared" si="10"/>
        <v>470.4183428915407</v>
      </c>
      <c r="L66" s="45">
        <f t="shared" si="10"/>
        <v>402.38875577551892</v>
      </c>
      <c r="M66" s="45">
        <f t="shared" si="10"/>
        <v>341.94871611878835</v>
      </c>
      <c r="N66" s="45">
        <f t="shared" si="10"/>
        <v>287.89526374268598</v>
      </c>
      <c r="O66" s="45">
        <f t="shared" si="10"/>
        <v>239.26690971571099</v>
      </c>
      <c r="P66" s="45">
        <f t="shared" si="10"/>
        <v>195.28594313801852</v>
      </c>
      <c r="Q66" s="45">
        <f t="shared" si="10"/>
        <v>155.31652469430651</v>
      </c>
    </row>
    <row r="67" spans="1:17">
      <c r="A67" s="46">
        <f>'a（自動）計算用'!G42</f>
        <v>24.361763919122062</v>
      </c>
      <c r="B67" s="45">
        <f t="shared" si="10"/>
        <v>1935.4578804407843</v>
      </c>
      <c r="C67" s="45">
        <f t="shared" si="10"/>
        <v>1606.7380308489676</v>
      </c>
      <c r="D67" s="45">
        <f t="shared" si="10"/>
        <v>1351.6629143476262</v>
      </c>
      <c r="E67" s="45">
        <f t="shared" si="10"/>
        <v>1147.9770438580754</v>
      </c>
      <c r="F67" s="45">
        <f t="shared" si="10"/>
        <v>981.57176965387998</v>
      </c>
      <c r="G67" s="45">
        <f t="shared" si="10"/>
        <v>843.07003863367436</v>
      </c>
      <c r="H67" s="47">
        <f t="shared" si="10"/>
        <v>725.99629793965107</v>
      </c>
      <c r="I67" s="45">
        <f t="shared" si="10"/>
        <v>625.73482661702064</v>
      </c>
      <c r="J67" s="45">
        <f t="shared" si="10"/>
        <v>538.90676729250777</v>
      </c>
      <c r="K67" s="45">
        <f t="shared" si="10"/>
        <v>462.9818390841267</v>
      </c>
      <c r="L67" s="45">
        <f t="shared" si="10"/>
        <v>396.02768257418091</v>
      </c>
      <c r="M67" s="45">
        <f t="shared" si="10"/>
        <v>336.54309584954643</v>
      </c>
      <c r="N67" s="45">
        <f t="shared" si="10"/>
        <v>283.34413546014673</v>
      </c>
      <c r="O67" s="45">
        <f t="shared" si="10"/>
        <v>235.48451195853147</v>
      </c>
      <c r="P67" s="45">
        <f t="shared" si="10"/>
        <v>192.19880871474385</v>
      </c>
      <c r="Q67" s="45">
        <f t="shared" si="10"/>
        <v>152.86123793796116</v>
      </c>
    </row>
    <row r="68" spans="1:17">
      <c r="A68" s="46">
        <f>'a（自動）計算用'!G43</f>
        <v>24.64053824799684</v>
      </c>
      <c r="B68" s="45">
        <f t="shared" si="10"/>
        <v>1906.0163359761218</v>
      </c>
      <c r="C68" s="45">
        <f t="shared" si="10"/>
        <v>1582.2968639001263</v>
      </c>
      <c r="D68" s="45">
        <f t="shared" si="10"/>
        <v>1331.1018656179388</v>
      </c>
      <c r="E68" s="45">
        <f t="shared" si="10"/>
        <v>1130.514397151725</v>
      </c>
      <c r="F68" s="45">
        <f t="shared" si="10"/>
        <v>966.64042488344228</v>
      </c>
      <c r="G68" s="45">
        <f t="shared" si="10"/>
        <v>830.24553633884523</v>
      </c>
      <c r="H68" s="47">
        <f t="shared" si="10"/>
        <v>714.95268262620255</v>
      </c>
      <c r="I68" s="45">
        <f t="shared" si="10"/>
        <v>616.21635560966547</v>
      </c>
      <c r="J68" s="45">
        <f t="shared" si="10"/>
        <v>530.70909597561172</v>
      </c>
      <c r="K68" s="45">
        <f t="shared" si="10"/>
        <v>455.9391126370794</v>
      </c>
      <c r="L68" s="45">
        <f t="shared" si="10"/>
        <v>390.00344058804706</v>
      </c>
      <c r="M68" s="45">
        <f t="shared" si="10"/>
        <v>331.42371370185896</v>
      </c>
      <c r="N68" s="45">
        <f t="shared" si="10"/>
        <v>279.03399828420811</v>
      </c>
      <c r="O68" s="45">
        <f t="shared" si="10"/>
        <v>231.90239952941084</v>
      </c>
      <c r="P68" s="45">
        <f t="shared" si="10"/>
        <v>189.27514407186277</v>
      </c>
      <c r="Q68" s="45">
        <f t="shared" si="10"/>
        <v>150.53596339742253</v>
      </c>
    </row>
    <row r="69" spans="1:17">
      <c r="A69" s="46">
        <f>'a（自動）計算用'!G44</f>
        <v>24.911832078263824</v>
      </c>
      <c r="B69" s="45">
        <f t="shared" si="10"/>
        <v>1878.1058570682098</v>
      </c>
      <c r="C69" s="45">
        <f t="shared" si="10"/>
        <v>1559.12672500238</v>
      </c>
      <c r="D69" s="45">
        <f t="shared" si="10"/>
        <v>1311.6100649217051</v>
      </c>
      <c r="E69" s="45">
        <f t="shared" si="10"/>
        <v>1113.959870497768</v>
      </c>
      <c r="F69" s="45">
        <f t="shared" si="10"/>
        <v>952.48556341609412</v>
      </c>
      <c r="G69" s="45">
        <f t="shared" si="10"/>
        <v>818.08795400705151</v>
      </c>
      <c r="H69" s="47">
        <f t="shared" si="10"/>
        <v>704.48337478662711</v>
      </c>
      <c r="I69" s="45">
        <f t="shared" si="10"/>
        <v>607.19287912033826</v>
      </c>
      <c r="J69" s="45">
        <f t="shared" si="10"/>
        <v>522.93773287138174</v>
      </c>
      <c r="K69" s="45">
        <f t="shared" si="10"/>
        <v>449.26263314088857</v>
      </c>
      <c r="L69" s="45">
        <f t="shared" si="10"/>
        <v>384.29248072002935</v>
      </c>
      <c r="M69" s="45">
        <f t="shared" si="10"/>
        <v>326.57055772608902</v>
      </c>
      <c r="N69" s="45">
        <f t="shared" si="10"/>
        <v>274.94800364885083</v>
      </c>
      <c r="O69" s="45">
        <f t="shared" si="10"/>
        <v>228.50656975156946</v>
      </c>
      <c r="P69" s="45">
        <f t="shared" si="10"/>
        <v>186.50352044162545</v>
      </c>
      <c r="Q69" s="45">
        <f t="shared" ref="B69:Q85" si="11">Q$25*$A69^Q$24</f>
        <v>148.33161144514281</v>
      </c>
    </row>
    <row r="70" spans="1:17">
      <c r="A70" s="46">
        <f>'a（自動）計算用'!G45</f>
        <v>25.175839841701567</v>
      </c>
      <c r="B70" s="45">
        <f t="shared" si="11"/>
        <v>1851.6214748571681</v>
      </c>
      <c r="C70" s="45">
        <f t="shared" si="11"/>
        <v>1537.1404732982978</v>
      </c>
      <c r="D70" s="45">
        <f t="shared" si="11"/>
        <v>1293.1142053084129</v>
      </c>
      <c r="E70" s="45">
        <f t="shared" si="11"/>
        <v>1098.2512037753929</v>
      </c>
      <c r="F70" s="45">
        <f t="shared" si="11"/>
        <v>939.05395006103549</v>
      </c>
      <c r="G70" s="45">
        <f t="shared" si="11"/>
        <v>806.55156803890702</v>
      </c>
      <c r="H70" s="47">
        <f t="shared" si="11"/>
        <v>694.5490002736276</v>
      </c>
      <c r="I70" s="45">
        <f t="shared" si="11"/>
        <v>598.63046064646744</v>
      </c>
      <c r="J70" s="45">
        <f t="shared" si="11"/>
        <v>515.5634505657182</v>
      </c>
      <c r="K70" s="45">
        <f t="shared" si="11"/>
        <v>442.927290942544</v>
      </c>
      <c r="L70" s="45">
        <f t="shared" si="11"/>
        <v>378.87332455164039</v>
      </c>
      <c r="M70" s="45">
        <f t="shared" si="11"/>
        <v>321.96537562884976</v>
      </c>
      <c r="N70" s="45">
        <f t="shared" si="11"/>
        <v>271.07078448711184</v>
      </c>
      <c r="O70" s="45">
        <f t="shared" si="11"/>
        <v>225.28425120745834</v>
      </c>
      <c r="P70" s="45">
        <f t="shared" si="11"/>
        <v>183.87351399098191</v>
      </c>
      <c r="Q70" s="45">
        <f t="shared" si="11"/>
        <v>146.23989170703106</v>
      </c>
    </row>
    <row r="71" spans="1:17">
      <c r="A71" s="46">
        <f>'a（自動）計算用'!G46</f>
        <v>25.432752430488847</v>
      </c>
      <c r="B71" s="45">
        <f t="shared" si="11"/>
        <v>1826.467276469411</v>
      </c>
      <c r="C71" s="45">
        <f t="shared" si="11"/>
        <v>1516.2584858401547</v>
      </c>
      <c r="D71" s="45">
        <f t="shared" si="11"/>
        <v>1275.5473042435697</v>
      </c>
      <c r="E71" s="45">
        <f t="shared" si="11"/>
        <v>1083.331508235844</v>
      </c>
      <c r="F71" s="45">
        <f t="shared" si="11"/>
        <v>926.29694239106107</v>
      </c>
      <c r="G71" s="45">
        <f t="shared" si="11"/>
        <v>795.59459955053262</v>
      </c>
      <c r="H71" s="47">
        <f t="shared" si="11"/>
        <v>685.11358186865959</v>
      </c>
      <c r="I71" s="45">
        <f t="shared" si="11"/>
        <v>590.49809149190401</v>
      </c>
      <c r="J71" s="45">
        <f t="shared" si="11"/>
        <v>508.55954318340235</v>
      </c>
      <c r="K71" s="45">
        <f t="shared" si="11"/>
        <v>436.91014267600644</v>
      </c>
      <c r="L71" s="45">
        <f t="shared" si="11"/>
        <v>373.72634667359642</v>
      </c>
      <c r="M71" s="45">
        <f t="shared" si="11"/>
        <v>317.59148979822578</v>
      </c>
      <c r="N71" s="45">
        <f t="shared" si="11"/>
        <v>267.38829949614484</v>
      </c>
      <c r="O71" s="45">
        <f t="shared" si="11"/>
        <v>222.22377430898919</v>
      </c>
      <c r="P71" s="45">
        <f t="shared" si="11"/>
        <v>181.37560018300991</v>
      </c>
      <c r="Q71" s="45">
        <f t="shared" si="11"/>
        <v>144.25322904505987</v>
      </c>
    </row>
    <row r="72" spans="1:17">
      <c r="A72" s="46">
        <f>'a（自動）計算用'!G47</f>
        <v>25.682757035368347</v>
      </c>
      <c r="B72" s="45">
        <f t="shared" si="11"/>
        <v>1802.5554708253428</v>
      </c>
      <c r="C72" s="45">
        <f t="shared" si="11"/>
        <v>1496.4078820616608</v>
      </c>
      <c r="D72" s="45">
        <f t="shared" si="11"/>
        <v>1258.8480511981795</v>
      </c>
      <c r="E72" s="45">
        <f t="shared" si="11"/>
        <v>1069.1487124054668</v>
      </c>
      <c r="F72" s="45">
        <f t="shared" si="11"/>
        <v>914.17001696485534</v>
      </c>
      <c r="G72" s="45">
        <f t="shared" si="11"/>
        <v>785.1788074468293</v>
      </c>
      <c r="H72" s="47">
        <f t="shared" si="11"/>
        <v>676.14418886347971</v>
      </c>
      <c r="I72" s="45">
        <f t="shared" si="11"/>
        <v>582.76738874192563</v>
      </c>
      <c r="J72" s="45">
        <f t="shared" si="11"/>
        <v>501.9015662726174</v>
      </c>
      <c r="K72" s="45">
        <f t="shared" si="11"/>
        <v>431.19018779360329</v>
      </c>
      <c r="L72" s="45">
        <f t="shared" si="11"/>
        <v>368.83358353414337</v>
      </c>
      <c r="M72" s="45">
        <f t="shared" si="11"/>
        <v>313.43363486367429</v>
      </c>
      <c r="N72" s="45">
        <f t="shared" si="11"/>
        <v>263.88769637479635</v>
      </c>
      <c r="O72" s="45">
        <f t="shared" si="11"/>
        <v>219.31445763563528</v>
      </c>
      <c r="P72" s="45">
        <f t="shared" si="11"/>
        <v>179.00106100783461</v>
      </c>
      <c r="Q72" s="45">
        <f t="shared" si="11"/>
        <v>142.36468977534878</v>
      </c>
    </row>
    <row r="73" spans="1:17">
      <c r="A73" s="46">
        <f>'a（自動）計算用'!G48</f>
        <v>25.926037016324717</v>
      </c>
      <c r="B73" s="45">
        <f t="shared" si="11"/>
        <v>1779.8055660696834</v>
      </c>
      <c r="C73" s="45">
        <f t="shared" si="11"/>
        <v>1477.5218409142374</v>
      </c>
      <c r="D73" s="45">
        <f t="shared" si="11"/>
        <v>1242.9602331919502</v>
      </c>
      <c r="E73" s="45">
        <f t="shared" si="11"/>
        <v>1055.6550741954186</v>
      </c>
      <c r="F73" s="45">
        <f t="shared" si="11"/>
        <v>902.63235215895202</v>
      </c>
      <c r="G73" s="45">
        <f t="shared" si="11"/>
        <v>775.2691301166783</v>
      </c>
      <c r="H73" s="47">
        <f t="shared" si="11"/>
        <v>667.61062851169004</v>
      </c>
      <c r="I73" s="45">
        <f t="shared" si="11"/>
        <v>575.41232932591072</v>
      </c>
      <c r="J73" s="45">
        <f t="shared" si="11"/>
        <v>495.56710776955106</v>
      </c>
      <c r="K73" s="45">
        <f t="shared" si="11"/>
        <v>425.74817179872917</v>
      </c>
      <c r="L73" s="45">
        <f t="shared" si="11"/>
        <v>364.17856512727661</v>
      </c>
      <c r="M73" s="45">
        <f t="shared" si="11"/>
        <v>309.47781466519581</v>
      </c>
      <c r="N73" s="45">
        <f t="shared" si="11"/>
        <v>260.55719140233731</v>
      </c>
      <c r="O73" s="45">
        <f t="shared" si="11"/>
        <v>216.54650785350441</v>
      </c>
      <c r="P73" s="45">
        <f t="shared" si="11"/>
        <v>176.74190329812728</v>
      </c>
      <c r="Q73" s="45">
        <f t="shared" si="11"/>
        <v>140.56791670213224</v>
      </c>
    </row>
    <row r="74" spans="1:17">
      <c r="A74" s="46">
        <f>'a（自動）計算用'!G49</f>
        <v>26.162771803082592</v>
      </c>
      <c r="B74" s="45">
        <f t="shared" si="11"/>
        <v>1758.1436434486973</v>
      </c>
      <c r="C74" s="45">
        <f t="shared" si="11"/>
        <v>1459.5389980695666</v>
      </c>
      <c r="D74" s="45">
        <f t="shared" si="11"/>
        <v>1227.8322276919873</v>
      </c>
      <c r="E74" s="45">
        <f t="shared" si="11"/>
        <v>1042.8067502168783</v>
      </c>
      <c r="F74" s="45">
        <f t="shared" si="11"/>
        <v>891.64645991295572</v>
      </c>
      <c r="G74" s="45">
        <f t="shared" si="11"/>
        <v>765.83336913964513</v>
      </c>
      <c r="H74" s="47">
        <f t="shared" si="11"/>
        <v>659.48517365781868</v>
      </c>
      <c r="I74" s="45">
        <f t="shared" si="11"/>
        <v>568.40901526136122</v>
      </c>
      <c r="J74" s="45">
        <f t="shared" si="11"/>
        <v>489.53558581756857</v>
      </c>
      <c r="K74" s="45">
        <f t="shared" si="11"/>
        <v>420.56641254965774</v>
      </c>
      <c r="L74" s="45">
        <f t="shared" si="11"/>
        <v>359.7461664156412</v>
      </c>
      <c r="M74" s="45">
        <f t="shared" si="11"/>
        <v>305.71117599297645</v>
      </c>
      <c r="N74" s="45">
        <f t="shared" si="11"/>
        <v>257.38596313667745</v>
      </c>
      <c r="O74" s="45">
        <f t="shared" si="11"/>
        <v>213.91093136897524</v>
      </c>
      <c r="P74" s="45">
        <f t="shared" si="11"/>
        <v>174.59078662217237</v>
      </c>
      <c r="Q74" s="45">
        <f t="shared" si="11"/>
        <v>138.8570717690427</v>
      </c>
    </row>
    <row r="75" spans="1:17">
      <c r="A75" s="46">
        <f>'a（自動）計算用'!G50</f>
        <v>26.393136822696903</v>
      </c>
      <c r="B75" s="45">
        <f t="shared" si="11"/>
        <v>1737.5017147752217</v>
      </c>
      <c r="C75" s="45">
        <f t="shared" si="11"/>
        <v>1442.40291251332</v>
      </c>
      <c r="D75" s="45">
        <f t="shared" si="11"/>
        <v>1213.4165538865766</v>
      </c>
      <c r="E75" s="45">
        <f t="shared" si="11"/>
        <v>1030.5634146746402</v>
      </c>
      <c r="F75" s="45">
        <f t="shared" si="11"/>
        <v>881.17785986650154</v>
      </c>
      <c r="G75" s="45">
        <f t="shared" si="11"/>
        <v>756.84190940286317</v>
      </c>
      <c r="H75" s="47">
        <f t="shared" si="11"/>
        <v>651.74232172044412</v>
      </c>
      <c r="I75" s="45">
        <f t="shared" si="11"/>
        <v>561.73546592191678</v>
      </c>
      <c r="J75" s="45">
        <f t="shared" si="11"/>
        <v>483.7880698604805</v>
      </c>
      <c r="K75" s="45">
        <f t="shared" si="11"/>
        <v>415.62864655843265</v>
      </c>
      <c r="L75" s="45">
        <f t="shared" si="11"/>
        <v>355.52247585692112</v>
      </c>
      <c r="M75" s="45">
        <f t="shared" si="11"/>
        <v>302.12189686152101</v>
      </c>
      <c r="N75" s="45">
        <f t="shared" si="11"/>
        <v>254.36405834953536</v>
      </c>
      <c r="O75" s="45">
        <f t="shared" si="11"/>
        <v>211.39945615234629</v>
      </c>
      <c r="P75" s="45">
        <f t="shared" si="11"/>
        <v>172.54095947754178</v>
      </c>
      <c r="Q75" s="45">
        <f t="shared" si="11"/>
        <v>137.22678531210573</v>
      </c>
    </row>
    <row r="76" spans="1:17">
      <c r="A76" s="46">
        <f>'a（自動）計算用'!G51</f>
        <v>26.617303451534312</v>
      </c>
      <c r="B76" s="45">
        <f t="shared" si="11"/>
        <v>1717.8171525474152</v>
      </c>
      <c r="C76" s="45">
        <f t="shared" si="11"/>
        <v>1426.0615934530331</v>
      </c>
      <c r="D76" s="45">
        <f t="shared" si="11"/>
        <v>1199.6694746980413</v>
      </c>
      <c r="E76" s="45">
        <f t="shared" si="11"/>
        <v>1018.8879213537671</v>
      </c>
      <c r="F76" s="45">
        <f t="shared" si="11"/>
        <v>871.19479034271035</v>
      </c>
      <c r="G76" s="45">
        <f t="shared" si="11"/>
        <v>748.26747086529906</v>
      </c>
      <c r="H76" s="47">
        <f t="shared" si="11"/>
        <v>644.35858092795763</v>
      </c>
      <c r="I76" s="45">
        <f t="shared" si="11"/>
        <v>555.37143379436498</v>
      </c>
      <c r="J76" s="45">
        <f t="shared" si="11"/>
        <v>478.30712196543283</v>
      </c>
      <c r="K76" s="45">
        <f t="shared" si="11"/>
        <v>410.91989266929085</v>
      </c>
      <c r="L76" s="45">
        <f t="shared" si="11"/>
        <v>351.49467879641884</v>
      </c>
      <c r="M76" s="45">
        <f t="shared" si="11"/>
        <v>298.69908741702909</v>
      </c>
      <c r="N76" s="45">
        <f t="shared" si="11"/>
        <v>251.48230859785434</v>
      </c>
      <c r="O76" s="45">
        <f t="shared" si="11"/>
        <v>209.00446240116392</v>
      </c>
      <c r="P76" s="45">
        <f t="shared" si="11"/>
        <v>170.58620269957768</v>
      </c>
      <c r="Q76" s="45">
        <f t="shared" si="11"/>
        <v>135.67211105087921</v>
      </c>
    </row>
    <row r="77" spans="1:17">
      <c r="A77" s="46">
        <f>'a（自動）計算用'!G52</f>
        <v>26.835438989018716</v>
      </c>
      <c r="B77" s="45">
        <f t="shared" si="11"/>
        <v>1699.0321833928542</v>
      </c>
      <c r="C77" s="45">
        <f t="shared" si="11"/>
        <v>1410.4670797960971</v>
      </c>
      <c r="D77" s="45">
        <f t="shared" si="11"/>
        <v>1186.5506430200296</v>
      </c>
      <c r="E77" s="45">
        <f t="shared" si="11"/>
        <v>1007.7460031663732</v>
      </c>
      <c r="F77" s="45">
        <f t="shared" si="11"/>
        <v>861.66795144723585</v>
      </c>
      <c r="G77" s="45">
        <f t="shared" si="11"/>
        <v>740.08488790603496</v>
      </c>
      <c r="H77" s="47">
        <f t="shared" si="11"/>
        <v>637.31228030786053</v>
      </c>
      <c r="I77" s="45">
        <f t="shared" si="11"/>
        <v>549.2982407087793</v>
      </c>
      <c r="J77" s="45">
        <f t="shared" si="11"/>
        <v>473.07665577803721</v>
      </c>
      <c r="K77" s="45">
        <f t="shared" si="11"/>
        <v>406.42633088517363</v>
      </c>
      <c r="L77" s="45">
        <f t="shared" si="11"/>
        <v>347.65095381708011</v>
      </c>
      <c r="M77" s="45">
        <f t="shared" si="11"/>
        <v>295.43270185596776</v>
      </c>
      <c r="N77" s="45">
        <f t="shared" si="11"/>
        <v>248.73225606582383</v>
      </c>
      <c r="O77" s="45">
        <f t="shared" si="11"/>
        <v>206.71892090825867</v>
      </c>
      <c r="P77" s="45">
        <f t="shared" si="11"/>
        <v>168.72077915833916</v>
      </c>
      <c r="Q77" s="45">
        <f t="shared" si="11"/>
        <v>134.18848608098907</v>
      </c>
    </row>
    <row r="78" spans="1:17">
      <c r="A78" s="46">
        <f>'a（自動）計算用'!G53</f>
        <v>27.047706650624068</v>
      </c>
      <c r="B78" s="45">
        <f t="shared" si="11"/>
        <v>1681.0934368537978</v>
      </c>
      <c r="C78" s="45">
        <f t="shared" si="11"/>
        <v>1395.5750655697279</v>
      </c>
      <c r="D78" s="45">
        <f t="shared" si="11"/>
        <v>1174.0227866033338</v>
      </c>
      <c r="E78" s="45">
        <f t="shared" si="11"/>
        <v>997.10600452288134</v>
      </c>
      <c r="F78" s="45">
        <f t="shared" si="11"/>
        <v>852.57027623370743</v>
      </c>
      <c r="G78" s="45">
        <f t="shared" si="11"/>
        <v>732.2709127787241</v>
      </c>
      <c r="H78" s="47">
        <f t="shared" si="11"/>
        <v>630.58340043470776</v>
      </c>
      <c r="I78" s="45">
        <f t="shared" si="11"/>
        <v>543.49863196049341</v>
      </c>
      <c r="J78" s="45">
        <f t="shared" si="11"/>
        <v>468.08181088663559</v>
      </c>
      <c r="K78" s="45">
        <f t="shared" si="11"/>
        <v>402.13519443242632</v>
      </c>
      <c r="L78" s="45">
        <f t="shared" si="11"/>
        <v>343.98038041326606</v>
      </c>
      <c r="M78" s="45">
        <f t="shared" si="11"/>
        <v>292.31345996652942</v>
      </c>
      <c r="N78" s="45">
        <f t="shared" si="11"/>
        <v>246.10608750865009</v>
      </c>
      <c r="O78" s="45">
        <f t="shared" si="11"/>
        <v>204.53633816306584</v>
      </c>
      <c r="P78" s="45">
        <f t="shared" si="11"/>
        <v>166.93938895115099</v>
      </c>
      <c r="Q78" s="45">
        <f t="shared" si="11"/>
        <v>132.77169523747506</v>
      </c>
    </row>
    <row r="79" spans="1:17">
      <c r="A79" s="46">
        <f>'a（自動）計算用'!G54</f>
        <v>27.25426557773557</v>
      </c>
      <c r="B79" s="45">
        <f t="shared" si="11"/>
        <v>1663.9515426586354</v>
      </c>
      <c r="C79" s="45">
        <f t="shared" si="11"/>
        <v>1381.3445655921807</v>
      </c>
      <c r="D79" s="45">
        <f t="shared" si="11"/>
        <v>1162.051426802936</v>
      </c>
      <c r="E79" s="45">
        <f t="shared" si="11"/>
        <v>986.93864246186422</v>
      </c>
      <c r="F79" s="45">
        <f t="shared" si="11"/>
        <v>843.87672645905002</v>
      </c>
      <c r="G79" s="45">
        <f t="shared" si="11"/>
        <v>724.8040401862404</v>
      </c>
      <c r="H79" s="47">
        <f t="shared" si="11"/>
        <v>624.15342236537015</v>
      </c>
      <c r="I79" s="45">
        <f t="shared" si="11"/>
        <v>537.95664610769131</v>
      </c>
      <c r="J79" s="45">
        <f t="shared" si="11"/>
        <v>463.30884068700442</v>
      </c>
      <c r="K79" s="45">
        <f t="shared" si="11"/>
        <v>398.03467342390184</v>
      </c>
      <c r="L79" s="45">
        <f t="shared" si="11"/>
        <v>340.47285658562492</v>
      </c>
      <c r="M79" s="45">
        <f t="shared" si="11"/>
        <v>289.33277710100953</v>
      </c>
      <c r="N79" s="45">
        <f t="shared" si="11"/>
        <v>243.59657529453185</v>
      </c>
      <c r="O79" s="45">
        <f t="shared" si="11"/>
        <v>202.45070735219372</v>
      </c>
      <c r="P79" s="45">
        <f t="shared" si="11"/>
        <v>165.23712941002677</v>
      </c>
      <c r="Q79" s="45">
        <f t="shared" si="11"/>
        <v>131.41783928754487</v>
      </c>
    </row>
    <row r="80" spans="1:17">
      <c r="A80" s="46">
        <f>'a（自動）計算用'!G55</f>
        <v>27.455270862155562</v>
      </c>
      <c r="B80" s="45">
        <f t="shared" si="11"/>
        <v>1647.5607705765231</v>
      </c>
      <c r="C80" s="45">
        <f t="shared" si="11"/>
        <v>1367.7376164947868</v>
      </c>
      <c r="D80" s="45">
        <f t="shared" si="11"/>
        <v>1150.6046270638117</v>
      </c>
      <c r="E80" s="45">
        <f t="shared" si="11"/>
        <v>977.2167930372259</v>
      </c>
      <c r="F80" s="45">
        <f t="shared" si="11"/>
        <v>835.5641099349599</v>
      </c>
      <c r="G80" s="45">
        <f t="shared" si="11"/>
        <v>717.66435040422607</v>
      </c>
      <c r="H80" s="47">
        <f t="shared" si="11"/>
        <v>618.00519254738197</v>
      </c>
      <c r="I80" s="45">
        <f t="shared" si="11"/>
        <v>532.65749853617001</v>
      </c>
      <c r="J80" s="45">
        <f t="shared" si="11"/>
        <v>458.74501210387467</v>
      </c>
      <c r="K80" s="45">
        <f t="shared" si="11"/>
        <v>394.11382870840902</v>
      </c>
      <c r="L80" s="45">
        <f t="shared" si="11"/>
        <v>337.11902514920934</v>
      </c>
      <c r="M80" s="45">
        <f t="shared" si="11"/>
        <v>286.48270155267357</v>
      </c>
      <c r="N80" s="45">
        <f t="shared" si="11"/>
        <v>241.19702468066225</v>
      </c>
      <c r="O80" s="45">
        <f t="shared" si="11"/>
        <v>200.4564645410297</v>
      </c>
      <c r="P80" s="45">
        <f t="shared" si="11"/>
        <v>163.60945933777523</v>
      </c>
      <c r="Q80" s="45">
        <f t="shared" si="11"/>
        <v>130.12330648652105</v>
      </c>
    </row>
    <row r="81" spans="1:17">
      <c r="A81" s="46">
        <f>'a（自動）計算用'!G56</f>
        <v>27.650873583197519</v>
      </c>
      <c r="B81" s="45">
        <f t="shared" si="11"/>
        <v>1631.8787077573531</v>
      </c>
      <c r="C81" s="45">
        <f t="shared" si="11"/>
        <v>1354.7190088627858</v>
      </c>
      <c r="D81" s="45">
        <f t="shared" si="11"/>
        <v>1139.6527675853122</v>
      </c>
      <c r="E81" s="45">
        <f t="shared" si="11"/>
        <v>967.91529993904112</v>
      </c>
      <c r="F81" s="45">
        <f t="shared" si="11"/>
        <v>827.61091689015427</v>
      </c>
      <c r="G81" s="45">
        <f t="shared" si="11"/>
        <v>710.83336873295229</v>
      </c>
      <c r="H81" s="47">
        <f t="shared" si="11"/>
        <v>612.12280178815683</v>
      </c>
      <c r="I81" s="45">
        <f t="shared" si="11"/>
        <v>527.5874771431362</v>
      </c>
      <c r="J81" s="45">
        <f t="shared" si="11"/>
        <v>454.37851574982727</v>
      </c>
      <c r="K81" s="45">
        <f t="shared" si="11"/>
        <v>390.36251468704756</v>
      </c>
      <c r="L81" s="45">
        <f t="shared" si="11"/>
        <v>333.91020771173339</v>
      </c>
      <c r="M81" s="45">
        <f t="shared" si="11"/>
        <v>283.7558584506844</v>
      </c>
      <c r="N81" s="45">
        <f t="shared" si="11"/>
        <v>238.90122657695076</v>
      </c>
      <c r="O81" s="45">
        <f t="shared" si="11"/>
        <v>198.54844941613624</v>
      </c>
      <c r="P81" s="45">
        <f t="shared" si="11"/>
        <v>162.05216696655202</v>
      </c>
      <c r="Q81" s="45">
        <f t="shared" si="11"/>
        <v>128.8847470943563</v>
      </c>
    </row>
    <row r="82" spans="1:17">
      <c r="A82" s="46">
        <f>'a（自動）計算用'!G57</f>
        <v>27.841220855483183</v>
      </c>
      <c r="B82" s="45">
        <f t="shared" si="11"/>
        <v>1616.8659691424286</v>
      </c>
      <c r="C82" s="45">
        <f t="shared" si="11"/>
        <v>1342.256046830101</v>
      </c>
      <c r="D82" s="45">
        <f t="shared" si="11"/>
        <v>1129.1683430810876</v>
      </c>
      <c r="E82" s="45">
        <f t="shared" si="11"/>
        <v>959.01080272960041</v>
      </c>
      <c r="F82" s="45">
        <f t="shared" si="11"/>
        <v>819.99717310449944</v>
      </c>
      <c r="G82" s="45">
        <f t="shared" si="11"/>
        <v>704.29393935451549</v>
      </c>
      <c r="H82" s="47">
        <f t="shared" si="11"/>
        <v>606.49147662912583</v>
      </c>
      <c r="I82" s="45">
        <f t="shared" si="11"/>
        <v>522.73384871278415</v>
      </c>
      <c r="J82" s="45">
        <f t="shared" si="11"/>
        <v>450.1983852923596</v>
      </c>
      <c r="K82" s="45">
        <f t="shared" si="11"/>
        <v>386.77131004040132</v>
      </c>
      <c r="L82" s="45">
        <f t="shared" si="11"/>
        <v>330.83834541865866</v>
      </c>
      <c r="M82" s="45">
        <f t="shared" si="11"/>
        <v>281.14539940546041</v>
      </c>
      <c r="N82" s="45">
        <f t="shared" si="11"/>
        <v>236.70341515117786</v>
      </c>
      <c r="O82" s="45">
        <f t="shared" si="11"/>
        <v>196.7218700513136</v>
      </c>
      <c r="P82" s="45">
        <f t="shared" si="11"/>
        <v>160.56134120046656</v>
      </c>
      <c r="Q82" s="45">
        <f t="shared" si="11"/>
        <v>127.69905050405191</v>
      </c>
    </row>
    <row r="83" spans="1:17">
      <c r="A83" s="46">
        <f>'a（自動）計算用'!G58</f>
        <v>28.026455885730172</v>
      </c>
      <c r="B83" s="45">
        <f t="shared" si="11"/>
        <v>1602.4859371128057</v>
      </c>
      <c r="C83" s="45">
        <f t="shared" si="11"/>
        <v>1330.3183319460347</v>
      </c>
      <c r="D83" s="45">
        <f t="shared" si="11"/>
        <v>1119.1257809576764</v>
      </c>
      <c r="E83" s="45">
        <f t="shared" si="11"/>
        <v>950.48158242117836</v>
      </c>
      <c r="F83" s="45">
        <f t="shared" si="11"/>
        <v>812.70430787108921</v>
      </c>
      <c r="G83" s="45">
        <f t="shared" si="11"/>
        <v>698.03011192572808</v>
      </c>
      <c r="H83" s="47">
        <f t="shared" si="11"/>
        <v>601.09748168701822</v>
      </c>
      <c r="I83" s="45">
        <f t="shared" si="11"/>
        <v>518.08477474442986</v>
      </c>
      <c r="J83" s="45">
        <f t="shared" si="11"/>
        <v>446.1944249618553</v>
      </c>
      <c r="K83" s="45">
        <f t="shared" si="11"/>
        <v>383.33145544968954</v>
      </c>
      <c r="L83" s="45">
        <f t="shared" si="11"/>
        <v>327.89594568080582</v>
      </c>
      <c r="M83" s="45">
        <f t="shared" si="11"/>
        <v>278.64495723796523</v>
      </c>
      <c r="N83" s="45">
        <f t="shared" si="11"/>
        <v>234.59822971444038</v>
      </c>
      <c r="O83" s="45">
        <f t="shared" si="11"/>
        <v>194.97227123097005</v>
      </c>
      <c r="P83" s="45">
        <f t="shared" si="11"/>
        <v>159.13334576160742</v>
      </c>
      <c r="Q83" s="45">
        <f t="shared" si="11"/>
        <v>126.56332467924858</v>
      </c>
    </row>
    <row r="84" spans="1:17">
      <c r="A84" s="46">
        <f>'a（自動）計算用'!G59</f>
        <v>28.206718036985855</v>
      </c>
      <c r="B84" s="45">
        <f t="shared" si="11"/>
        <v>1588.7045270387991</v>
      </c>
      <c r="C84" s="45">
        <f t="shared" si="11"/>
        <v>1318.8775685440492</v>
      </c>
      <c r="D84" s="45">
        <f t="shared" si="11"/>
        <v>1109.501277581654</v>
      </c>
      <c r="E84" s="45">
        <f t="shared" si="11"/>
        <v>942.30742241654377</v>
      </c>
      <c r="F84" s="45">
        <f t="shared" si="11"/>
        <v>805.71503509415459</v>
      </c>
      <c r="G84" s="45">
        <f t="shared" si="11"/>
        <v>692.02703945335099</v>
      </c>
      <c r="H84" s="47">
        <f t="shared" si="11"/>
        <v>595.92803171074786</v>
      </c>
      <c r="I84" s="45">
        <f t="shared" si="11"/>
        <v>513.62923565451035</v>
      </c>
      <c r="J84" s="45">
        <f t="shared" si="11"/>
        <v>442.35714427144632</v>
      </c>
      <c r="K84" s="45">
        <f t="shared" si="11"/>
        <v>380.03479751374778</v>
      </c>
      <c r="L84" s="45">
        <f t="shared" si="11"/>
        <v>325.07603420178657</v>
      </c>
      <c r="M84" s="45">
        <f t="shared" si="11"/>
        <v>276.24860521276798</v>
      </c>
      <c r="N84" s="45">
        <f t="shared" si="11"/>
        <v>232.58068039843468</v>
      </c>
      <c r="O84" s="45">
        <f t="shared" si="11"/>
        <v>193.295505924851</v>
      </c>
      <c r="P84" s="45">
        <f t="shared" si="11"/>
        <v>157.76479590815867</v>
      </c>
      <c r="Q84" s="45">
        <f t="shared" si="11"/>
        <v>125.4748776374749</v>
      </c>
    </row>
    <row r="85" spans="1:17">
      <c r="A85" s="46">
        <f>'a（自動）計算用'!G60</f>
        <v>28.382142898926077</v>
      </c>
      <c r="B85" s="45">
        <f t="shared" si="11"/>
        <v>1575.4899758193358</v>
      </c>
      <c r="C85" s="45">
        <f t="shared" si="11"/>
        <v>1307.9073881957804</v>
      </c>
      <c r="D85" s="45">
        <f t="shared" si="11"/>
        <v>1100.2726506021675</v>
      </c>
      <c r="E85" s="45">
        <f t="shared" si="11"/>
        <v>934.46948308542494</v>
      </c>
      <c r="F85" s="45">
        <f t="shared" si="11"/>
        <v>799.01324604632646</v>
      </c>
      <c r="G85" s="45">
        <f t="shared" si="11"/>
        <v>686.27088618351991</v>
      </c>
      <c r="H85" s="47">
        <f t="shared" si="11"/>
        <v>590.97121226186403</v>
      </c>
      <c r="I85" s="45">
        <f t="shared" si="11"/>
        <v>509.35696241121485</v>
      </c>
      <c r="J85" s="45">
        <f t="shared" si="11"/>
        <v>438.67769913814254</v>
      </c>
      <c r="K85" s="45">
        <f t="shared" si="11"/>
        <v>376.8737381654218</v>
      </c>
      <c r="L85" s="45">
        <f t="shared" si="11"/>
        <v>322.37211170954919</v>
      </c>
      <c r="M85" s="45">
        <f t="shared" si="11"/>
        <v>273.9508202686452</v>
      </c>
      <c r="N85" s="45">
        <f t="shared" si="11"/>
        <v>230.64611719837168</v>
      </c>
      <c r="O85" s="45">
        <f t="shared" si="11"/>
        <v>191.68770955991144</v>
      </c>
      <c r="P85" s="45">
        <f t="shared" ref="B85:Q101" si="12">P$25*$A85^P$24</f>
        <v>156.45253743550083</v>
      </c>
      <c r="Q85" s="45">
        <f t="shared" si="12"/>
        <v>124.4312007491193</v>
      </c>
    </row>
    <row r="86" spans="1:17">
      <c r="A86" s="46">
        <f>'a（自動）計算用'!G61</f>
        <v>28.552862362990862</v>
      </c>
      <c r="B86" s="45">
        <f t="shared" si="12"/>
        <v>1562.8126508650062</v>
      </c>
      <c r="C86" s="45">
        <f t="shared" si="12"/>
        <v>1297.3831911365744</v>
      </c>
      <c r="D86" s="45">
        <f t="shared" si="12"/>
        <v>1091.4192055507056</v>
      </c>
      <c r="E86" s="45">
        <f t="shared" si="12"/>
        <v>926.95018846673486</v>
      </c>
      <c r="F86" s="45">
        <f t="shared" si="12"/>
        <v>792.58391249396595</v>
      </c>
      <c r="G86" s="45">
        <f t="shared" si="12"/>
        <v>680.74874439628331</v>
      </c>
      <c r="H86" s="47">
        <f t="shared" si="12"/>
        <v>586.21590806349775</v>
      </c>
      <c r="I86" s="45">
        <f t="shared" si="12"/>
        <v>505.25837477857749</v>
      </c>
      <c r="J86" s="45">
        <f t="shared" si="12"/>
        <v>435.14783869628241</v>
      </c>
      <c r="K86" s="45">
        <f t="shared" si="12"/>
        <v>373.84118897830854</v>
      </c>
      <c r="L86" s="45">
        <f t="shared" si="12"/>
        <v>319.77811487105453</v>
      </c>
      <c r="M86" s="45">
        <f t="shared" si="12"/>
        <v>271.74644980399364</v>
      </c>
      <c r="N86" s="45">
        <f t="shared" si="12"/>
        <v>228.79020200877642</v>
      </c>
      <c r="O86" s="45">
        <f t="shared" si="12"/>
        <v>190.14527677954518</v>
      </c>
      <c r="P86" s="45">
        <f t="shared" si="12"/>
        <v>155.19362770745397</v>
      </c>
      <c r="Q86" s="45">
        <f t="shared" si="12"/>
        <v>123.42995365103246</v>
      </c>
    </row>
    <row r="87" spans="1:17">
      <c r="A87" s="46">
        <f>'a（自動）計算用'!G62</f>
        <v>28.719004701274081</v>
      </c>
      <c r="B87" s="45">
        <f t="shared" si="12"/>
        <v>1550.6448772930144</v>
      </c>
      <c r="C87" s="45">
        <f t="shared" si="12"/>
        <v>1287.2820028097967</v>
      </c>
      <c r="D87" s="45">
        <f t="shared" si="12"/>
        <v>1082.9216151594878</v>
      </c>
      <c r="E87" s="45">
        <f t="shared" si="12"/>
        <v>919.73312377280922</v>
      </c>
      <c r="F87" s="45">
        <f t="shared" si="12"/>
        <v>786.41299905869778</v>
      </c>
      <c r="G87" s="45">
        <f t="shared" si="12"/>
        <v>675.44855913309971</v>
      </c>
      <c r="H87" s="47">
        <f t="shared" si="12"/>
        <v>581.65173818064704</v>
      </c>
      <c r="I87" s="45">
        <f t="shared" si="12"/>
        <v>501.32452544848962</v>
      </c>
      <c r="J87" s="45">
        <f t="shared" si="12"/>
        <v>431.75985718188446</v>
      </c>
      <c r="K87" s="45">
        <f t="shared" si="12"/>
        <v>370.93052982997466</v>
      </c>
      <c r="L87" s="45">
        <f t="shared" si="12"/>
        <v>317.28838093341608</v>
      </c>
      <c r="M87" s="45">
        <f t="shared" si="12"/>
        <v>269.63068162898082</v>
      </c>
      <c r="N87" s="45">
        <f t="shared" si="12"/>
        <v>227.00888332544471</v>
      </c>
      <c r="O87" s="45">
        <f t="shared" si="12"/>
        <v>188.66484041863103</v>
      </c>
      <c r="P87" s="45">
        <f t="shared" si="12"/>
        <v>153.98531849603629</v>
      </c>
      <c r="Q87" s="45">
        <f t="shared" si="12"/>
        <v>122.46895059849388</v>
      </c>
    </row>
    <row r="88" spans="1:17">
      <c r="A88" s="46">
        <f>'a（自動）計算用'!G63</f>
        <v>28.880694648217556</v>
      </c>
      <c r="B88" s="45">
        <f t="shared" si="12"/>
        <v>1538.9607813736816</v>
      </c>
      <c r="C88" s="45">
        <f t="shared" si="12"/>
        <v>1277.5823439025185</v>
      </c>
      <c r="D88" s="45">
        <f t="shared" si="12"/>
        <v>1074.7618100294244</v>
      </c>
      <c r="E88" s="45">
        <f t="shared" si="12"/>
        <v>912.80294253291822</v>
      </c>
      <c r="F88" s="45">
        <f t="shared" si="12"/>
        <v>780.48738382095712</v>
      </c>
      <c r="G88" s="45">
        <f t="shared" si="12"/>
        <v>670.35906000338059</v>
      </c>
      <c r="H88" s="47">
        <f t="shared" si="12"/>
        <v>577.26899729647153</v>
      </c>
      <c r="I88" s="45">
        <f t="shared" si="12"/>
        <v>497.54704942684901</v>
      </c>
      <c r="J88" s="45">
        <f t="shared" si="12"/>
        <v>428.50655034206358</v>
      </c>
      <c r="K88" s="45">
        <f t="shared" si="12"/>
        <v>368.13557145271659</v>
      </c>
      <c r="L88" s="45">
        <f t="shared" si="12"/>
        <v>314.89761569038529</v>
      </c>
      <c r="M88" s="45">
        <f t="shared" si="12"/>
        <v>267.59901674356371</v>
      </c>
      <c r="N88" s="45">
        <f t="shared" si="12"/>
        <v>225.29837332656896</v>
      </c>
      <c r="O88" s="45">
        <f t="shared" si="12"/>
        <v>187.24325245588284</v>
      </c>
      <c r="P88" s="45">
        <f t="shared" si="12"/>
        <v>152.82504043506751</v>
      </c>
      <c r="Q88" s="45">
        <f t="shared" si="12"/>
        <v>121.54614810071575</v>
      </c>
    </row>
    <row r="89" spans="1:17">
      <c r="A89" s="46">
        <f>'a（自動）計算用'!G64</f>
        <v>29.038053484283193</v>
      </c>
      <c r="B89" s="45">
        <f t="shared" si="12"/>
        <v>1527.7361485030769</v>
      </c>
      <c r="C89" s="45">
        <f t="shared" si="12"/>
        <v>1268.2641124401989</v>
      </c>
      <c r="D89" s="45">
        <f t="shared" si="12"/>
        <v>1066.9228794426692</v>
      </c>
      <c r="E89" s="45">
        <f t="shared" si="12"/>
        <v>906.14528235265414</v>
      </c>
      <c r="F89" s="45">
        <f t="shared" si="12"/>
        <v>774.79478629049299</v>
      </c>
      <c r="G89" s="45">
        <f t="shared" si="12"/>
        <v>665.46969931849992</v>
      </c>
      <c r="H89" s="47">
        <f t="shared" si="12"/>
        <v>573.05860243738277</v>
      </c>
      <c r="I89" s="45">
        <f t="shared" si="12"/>
        <v>493.9181181160173</v>
      </c>
      <c r="J89" s="45">
        <f t="shared" si="12"/>
        <v>425.38117588908648</v>
      </c>
      <c r="K89" s="45">
        <f t="shared" si="12"/>
        <v>365.45052145912382</v>
      </c>
      <c r="L89" s="45">
        <f t="shared" si="12"/>
        <v>312.6008644211305</v>
      </c>
      <c r="M89" s="45">
        <f t="shared" si="12"/>
        <v>265.64724464135315</v>
      </c>
      <c r="N89" s="45">
        <f t="shared" si="12"/>
        <v>223.65512708043795</v>
      </c>
      <c r="O89" s="45">
        <f t="shared" si="12"/>
        <v>185.87756673357404</v>
      </c>
      <c r="P89" s="45">
        <f t="shared" si="12"/>
        <v>151.71038891627589</v>
      </c>
      <c r="Q89" s="45">
        <f t="shared" si="12"/>
        <v>120.65963370361145</v>
      </c>
    </row>
    <row r="90" spans="1:17">
      <c r="A90" s="46">
        <f>'a（自動）計算用'!G65</f>
        <v>29.191199120888513</v>
      </c>
      <c r="B90" s="45">
        <f t="shared" si="12"/>
        <v>1516.9482941801298</v>
      </c>
      <c r="C90" s="45">
        <f t="shared" si="12"/>
        <v>1259.3084766771565</v>
      </c>
      <c r="D90" s="45">
        <f t="shared" si="12"/>
        <v>1059.3889812570926</v>
      </c>
      <c r="E90" s="45">
        <f t="shared" si="12"/>
        <v>899.74668838665775</v>
      </c>
      <c r="F90" s="45">
        <f t="shared" si="12"/>
        <v>769.3237019721239</v>
      </c>
      <c r="G90" s="45">
        <f t="shared" si="12"/>
        <v>660.77059589045211</v>
      </c>
      <c r="H90" s="47">
        <f t="shared" si="12"/>
        <v>569.01204457615552</v>
      </c>
      <c r="I90" s="45">
        <f t="shared" si="12"/>
        <v>490.43039760163356</v>
      </c>
      <c r="J90" s="45">
        <f t="shared" si="12"/>
        <v>422.37741757538038</v>
      </c>
      <c r="K90" s="45">
        <f t="shared" si="12"/>
        <v>362.86995347844925</v>
      </c>
      <c r="L90" s="45">
        <f t="shared" si="12"/>
        <v>310.39348548995395</v>
      </c>
      <c r="M90" s="45">
        <f t="shared" si="12"/>
        <v>263.77142087473538</v>
      </c>
      <c r="N90" s="45">
        <f t="shared" si="12"/>
        <v>222.07582365694554</v>
      </c>
      <c r="O90" s="45">
        <f t="shared" si="12"/>
        <v>184.56502325949936</v>
      </c>
      <c r="P90" s="45">
        <f t="shared" si="12"/>
        <v>150.63911127680254</v>
      </c>
      <c r="Q90" s="45">
        <f t="shared" si="12"/>
        <v>119.80761579964934</v>
      </c>
    </row>
    <row r="91" spans="1:17">
      <c r="A91" s="46">
        <f>'a（自動）計算用'!G66</f>
        <v>29.340246185992296</v>
      </c>
      <c r="B91" s="45">
        <f t="shared" si="12"/>
        <v>1506.5759466438212</v>
      </c>
      <c r="C91" s="45">
        <f t="shared" si="12"/>
        <v>1250.6977776667632</v>
      </c>
      <c r="D91" s="45">
        <f t="shared" si="12"/>
        <v>1052.1452599437878</v>
      </c>
      <c r="E91" s="45">
        <f t="shared" si="12"/>
        <v>893.59454372728237</v>
      </c>
      <c r="F91" s="45">
        <f t="shared" si="12"/>
        <v>764.06334284492823</v>
      </c>
      <c r="G91" s="45">
        <f t="shared" si="12"/>
        <v>656.25248390954664</v>
      </c>
      <c r="H91" s="47">
        <f t="shared" si="12"/>
        <v>565.12134460877189</v>
      </c>
      <c r="I91" s="45">
        <f t="shared" si="12"/>
        <v>487.07701070913998</v>
      </c>
      <c r="J91" s="45">
        <f t="shared" si="12"/>
        <v>419.4893525151615</v>
      </c>
      <c r="K91" s="45">
        <f t="shared" si="12"/>
        <v>360.38877908219416</v>
      </c>
      <c r="L91" s="45">
        <f t="shared" si="12"/>
        <v>308.27112633186016</v>
      </c>
      <c r="M91" s="45">
        <f t="shared" si="12"/>
        <v>261.96784664748242</v>
      </c>
      <c r="N91" s="45">
        <f t="shared" si="12"/>
        <v>220.55734894609409</v>
      </c>
      <c r="O91" s="45">
        <f t="shared" si="12"/>
        <v>183.30303392760257</v>
      </c>
      <c r="P91" s="45">
        <f t="shared" si="12"/>
        <v>149.60909514459937</v>
      </c>
      <c r="Q91" s="45">
        <f t="shared" si="12"/>
        <v>118.98841435861267</v>
      </c>
    </row>
    <row r="92" spans="1:17">
      <c r="A92" s="46">
        <f>'a（自動）計算用'!G67</f>
        <v>29.485306109807635</v>
      </c>
      <c r="B92" s="45">
        <f t="shared" si="12"/>
        <v>1496.5991399805366</v>
      </c>
      <c r="C92" s="45">
        <f t="shared" si="12"/>
        <v>1242.4154405235358</v>
      </c>
      <c r="D92" s="45">
        <f t="shared" si="12"/>
        <v>1045.177771936605</v>
      </c>
      <c r="E92" s="45">
        <f t="shared" si="12"/>
        <v>887.67700600341686</v>
      </c>
      <c r="F92" s="45">
        <f t="shared" si="12"/>
        <v>759.00358315140045</v>
      </c>
      <c r="G92" s="45">
        <f t="shared" si="12"/>
        <v>651.90666638282232</v>
      </c>
      <c r="H92" s="47">
        <f t="shared" si="12"/>
        <v>561.37901325865494</v>
      </c>
      <c r="I92" s="45">
        <f t="shared" si="12"/>
        <v>483.85150244531758</v>
      </c>
      <c r="J92" s="45">
        <f t="shared" si="12"/>
        <v>416.71142142136335</v>
      </c>
      <c r="K92" s="45">
        <f t="shared" si="12"/>
        <v>358.00222221426458</v>
      </c>
      <c r="L92" s="45">
        <f t="shared" si="12"/>
        <v>306.22970158049776</v>
      </c>
      <c r="M92" s="45">
        <f t="shared" si="12"/>
        <v>260.23305022794494</v>
      </c>
      <c r="N92" s="45">
        <f t="shared" si="12"/>
        <v>219.09678000929156</v>
      </c>
      <c r="O92" s="45">
        <f t="shared" si="12"/>
        <v>182.08916951249415</v>
      </c>
      <c r="P92" s="45">
        <f t="shared" si="12"/>
        <v>148.61835782355575</v>
      </c>
      <c r="Q92" s="45">
        <f t="shared" si="12"/>
        <v>118.20045248528578</v>
      </c>
    </row>
    <row r="93" spans="1:17">
      <c r="A93" s="46">
        <f>'a（自動）計算用'!G68</f>
        <v>29.62648721020097</v>
      </c>
      <c r="B93" s="45">
        <f t="shared" si="12"/>
        <v>1486.9991166464968</v>
      </c>
      <c r="C93" s="45">
        <f t="shared" si="12"/>
        <v>1234.4458935012433</v>
      </c>
      <c r="D93" s="45">
        <f t="shared" si="12"/>
        <v>1038.4734175568867</v>
      </c>
      <c r="E93" s="45">
        <f t="shared" si="12"/>
        <v>881.98294956367147</v>
      </c>
      <c r="F93" s="45">
        <f t="shared" si="12"/>
        <v>754.13490996148528</v>
      </c>
      <c r="G93" s="45">
        <f t="shared" si="12"/>
        <v>647.72497267359529</v>
      </c>
      <c r="H93" s="47">
        <f t="shared" si="12"/>
        <v>557.77801451252878</v>
      </c>
      <c r="I93" s="45">
        <f t="shared" si="12"/>
        <v>480.74780848372296</v>
      </c>
      <c r="J93" s="45">
        <f t="shared" si="12"/>
        <v>414.03840146409004</v>
      </c>
      <c r="K93" s="45">
        <f t="shared" si="12"/>
        <v>355.70579587331417</v>
      </c>
      <c r="L93" s="45">
        <f t="shared" si="12"/>
        <v>304.26537312258677</v>
      </c>
      <c r="M93" s="45">
        <f t="shared" si="12"/>
        <v>258.56376999936674</v>
      </c>
      <c r="N93" s="45">
        <f t="shared" si="12"/>
        <v>217.69137080898324</v>
      </c>
      <c r="O93" s="45">
        <f t="shared" si="12"/>
        <v>180.92114780948916</v>
      </c>
      <c r="P93" s="45">
        <f t="shared" si="12"/>
        <v>147.66503661358141</v>
      </c>
      <c r="Q93" s="45">
        <f t="shared" si="12"/>
        <v>117.4422487207376</v>
      </c>
    </row>
    <row r="94" spans="1:17">
      <c r="A94" s="46">
        <f>'a（自動）計算用'!G69</f>
        <v>29.763894777407348</v>
      </c>
      <c r="B94" s="45">
        <f t="shared" si="12"/>
        <v>1477.7582384683037</v>
      </c>
      <c r="C94" s="45">
        <f t="shared" si="12"/>
        <v>1226.7744941091969</v>
      </c>
      <c r="D94" s="45">
        <f t="shared" si="12"/>
        <v>1032.0198788590449</v>
      </c>
      <c r="E94" s="45">
        <f t="shared" si="12"/>
        <v>876.50191268818105</v>
      </c>
      <c r="F94" s="45">
        <f t="shared" si="12"/>
        <v>749.44837803630651</v>
      </c>
      <c r="G94" s="45">
        <f t="shared" si="12"/>
        <v>643.6997197340047</v>
      </c>
      <c r="H94" s="47">
        <f t="shared" si="12"/>
        <v>554.31173223644464</v>
      </c>
      <c r="I94" s="45">
        <f t="shared" si="12"/>
        <v>477.76022639110533</v>
      </c>
      <c r="J94" s="45">
        <f t="shared" si="12"/>
        <v>411.46538148970569</v>
      </c>
      <c r="K94" s="45">
        <f t="shared" si="12"/>
        <v>353.49528082314026</v>
      </c>
      <c r="L94" s="45">
        <f t="shared" si="12"/>
        <v>302.37453188711305</v>
      </c>
      <c r="M94" s="45">
        <f t="shared" si="12"/>
        <v>256.95693898439822</v>
      </c>
      <c r="N94" s="45">
        <f t="shared" si="12"/>
        <v>216.33853917944847</v>
      </c>
      <c r="O94" s="45">
        <f t="shared" si="12"/>
        <v>179.79682280616518</v>
      </c>
      <c r="P94" s="45">
        <f t="shared" si="12"/>
        <v>146.74737997259976</v>
      </c>
      <c r="Q94" s="45">
        <f t="shared" si="12"/>
        <v>116.71241001320099</v>
      </c>
    </row>
    <row r="95" spans="1:17">
      <c r="A95" s="46">
        <f>'a（自動）計算用'!G70</f>
        <v>29.897631157755349</v>
      </c>
      <c r="B95" s="45">
        <f t="shared" si="12"/>
        <v>1468.8599052881325</v>
      </c>
      <c r="C95" s="45">
        <f t="shared" si="12"/>
        <v>1219.3874615748127</v>
      </c>
      <c r="D95" s="45">
        <f t="shared" si="12"/>
        <v>1025.8055628149223</v>
      </c>
      <c r="E95" s="45">
        <f t="shared" si="12"/>
        <v>871.22404933467283</v>
      </c>
      <c r="F95" s="45">
        <f t="shared" si="12"/>
        <v>744.93556856889438</v>
      </c>
      <c r="G95" s="45">
        <f t="shared" si="12"/>
        <v>639.82367666750622</v>
      </c>
      <c r="H95" s="47">
        <f t="shared" si="12"/>
        <v>550.97393965933793</v>
      </c>
      <c r="I95" s="45">
        <f t="shared" si="12"/>
        <v>474.88338932534242</v>
      </c>
      <c r="J95" s="45">
        <f t="shared" si="12"/>
        <v>408.98773936849057</v>
      </c>
      <c r="K95" s="45">
        <f t="shared" si="12"/>
        <v>351.36670613175983</v>
      </c>
      <c r="L95" s="45">
        <f t="shared" si="12"/>
        <v>300.55378119874695</v>
      </c>
      <c r="M95" s="45">
        <f t="shared" si="12"/>
        <v>255.40967069888347</v>
      </c>
      <c r="N95" s="45">
        <f t="shared" si="12"/>
        <v>215.0358549167469</v>
      </c>
      <c r="O95" s="45">
        <f t="shared" si="12"/>
        <v>178.71417478403418</v>
      </c>
      <c r="P95" s="45">
        <f t="shared" si="12"/>
        <v>145.86373943768598</v>
      </c>
      <c r="Q95" s="45">
        <f t="shared" si="12"/>
        <v>116.00962529272149</v>
      </c>
    </row>
    <row r="96" spans="1:17">
      <c r="A96" s="46">
        <f>'a（自動）計算用'!G71</f>
        <v>30.027795836151071</v>
      </c>
      <c r="B96" s="45">
        <f t="shared" si="12"/>
        <v>1460.2884805110359</v>
      </c>
      <c r="C96" s="45">
        <f t="shared" si="12"/>
        <v>1212.2718150360279</v>
      </c>
      <c r="D96" s="45">
        <f t="shared" si="12"/>
        <v>1019.8195493183728</v>
      </c>
      <c r="E96" s="45">
        <f t="shared" si="12"/>
        <v>866.14008497838188</v>
      </c>
      <c r="F96" s="45">
        <f t="shared" si="12"/>
        <v>740.58855142533673</v>
      </c>
      <c r="G96" s="45">
        <f t="shared" si="12"/>
        <v>636.09003229787163</v>
      </c>
      <c r="H96" s="47">
        <f t="shared" si="12"/>
        <v>547.75877144559047</v>
      </c>
      <c r="I96" s="45">
        <f t="shared" si="12"/>
        <v>472.11224196483471</v>
      </c>
      <c r="J96" s="45">
        <f t="shared" si="12"/>
        <v>406.60112126411514</v>
      </c>
      <c r="K96" s="45">
        <f t="shared" si="12"/>
        <v>349.31633136154386</v>
      </c>
      <c r="L96" s="45">
        <f t="shared" si="12"/>
        <v>298.79992154355284</v>
      </c>
      <c r="M96" s="45">
        <f t="shared" si="12"/>
        <v>253.91924620580761</v>
      </c>
      <c r="N96" s="45">
        <f t="shared" si="12"/>
        <v>213.78102887910921</v>
      </c>
      <c r="O96" s="45">
        <f t="shared" si="12"/>
        <v>177.67130125998509</v>
      </c>
      <c r="P96" s="45">
        <f t="shared" si="12"/>
        <v>145.01256223161275</v>
      </c>
      <c r="Q96" s="45">
        <f t="shared" si="12"/>
        <v>115.3326595909307</v>
      </c>
    </row>
    <row r="97" spans="1:17">
      <c r="A97" s="46">
        <f>'a（自動）計算用'!G72</f>
        <v>30.154485517118435</v>
      </c>
      <c r="B97" s="45">
        <f t="shared" si="12"/>
        <v>1452.0292228919</v>
      </c>
      <c r="C97" s="45">
        <f t="shared" si="12"/>
        <v>1205.4153169136184</v>
      </c>
      <c r="D97" s="45">
        <f t="shared" si="12"/>
        <v>1014.0515435474144</v>
      </c>
      <c r="E97" s="45">
        <f t="shared" si="12"/>
        <v>861.24127615288648</v>
      </c>
      <c r="F97" s="45">
        <f t="shared" si="12"/>
        <v>736.39985055038085</v>
      </c>
      <c r="G97" s="45">
        <f t="shared" si="12"/>
        <v>632.49236545612951</v>
      </c>
      <c r="H97" s="47">
        <f t="shared" si="12"/>
        <v>544.66069810810347</v>
      </c>
      <c r="I97" s="45">
        <f t="shared" si="12"/>
        <v>469.44201845518211</v>
      </c>
      <c r="J97" s="45">
        <f t="shared" si="12"/>
        <v>404.30142264047424</v>
      </c>
      <c r="K97" s="45">
        <f t="shared" si="12"/>
        <v>347.34063025194064</v>
      </c>
      <c r="L97" s="45">
        <f t="shared" si="12"/>
        <v>297.10993661143715</v>
      </c>
      <c r="M97" s="45">
        <f t="shared" si="12"/>
        <v>252.48310225421207</v>
      </c>
      <c r="N97" s="45">
        <f t="shared" si="12"/>
        <v>212.57190300079057</v>
      </c>
      <c r="O97" s="45">
        <f t="shared" si="12"/>
        <v>176.66640868689583</v>
      </c>
      <c r="P97" s="45">
        <f t="shared" si="12"/>
        <v>144.19238448901854</v>
      </c>
      <c r="Q97" s="45">
        <f t="shared" si="12"/>
        <v>114.68034865362313</v>
      </c>
    </row>
    <row r="98" spans="1:17">
      <c r="A98" s="46">
        <f>'a（自動）計算用'!G73</f>
        <v>30.277794204235548</v>
      </c>
      <c r="B98" s="45">
        <f t="shared" si="12"/>
        <v>1444.068223970115</v>
      </c>
      <c r="C98" s="45">
        <f t="shared" si="12"/>
        <v>1198.8064209720201</v>
      </c>
      <c r="D98" s="45">
        <f t="shared" si="12"/>
        <v>1008.491832270573</v>
      </c>
      <c r="E98" s="45">
        <f t="shared" si="12"/>
        <v>856.51937334076911</v>
      </c>
      <c r="F98" s="45">
        <f t="shared" si="12"/>
        <v>732.36241223728803</v>
      </c>
      <c r="G98" s="45">
        <f t="shared" si="12"/>
        <v>629.0246177276058</v>
      </c>
      <c r="H98" s="47">
        <f t="shared" si="12"/>
        <v>541.67450253984805</v>
      </c>
      <c r="I98" s="45">
        <f t="shared" si="12"/>
        <v>466.86822218177161</v>
      </c>
      <c r="J98" s="45">
        <f t="shared" si="12"/>
        <v>402.08477084106585</v>
      </c>
      <c r="K98" s="45">
        <f t="shared" si="12"/>
        <v>345.4362757531926</v>
      </c>
      <c r="L98" s="45">
        <f t="shared" si="12"/>
        <v>295.48098049421486</v>
      </c>
      <c r="M98" s="45">
        <f t="shared" si="12"/>
        <v>251.09882040015165</v>
      </c>
      <c r="N98" s="45">
        <f t="shared" si="12"/>
        <v>211.40644113272936</v>
      </c>
      <c r="O98" s="45">
        <f t="shared" si="12"/>
        <v>175.69780484139548</v>
      </c>
      <c r="P98" s="45">
        <f t="shared" si="12"/>
        <v>143.40182504341698</v>
      </c>
      <c r="Q98" s="45">
        <f t="shared" si="12"/>
        <v>114.05159399938613</v>
      </c>
    </row>
    <row r="99" spans="1:17">
      <c r="A99" s="46">
        <f>'a（自動）計算用'!G74</f>
        <v>30.397813277842882</v>
      </c>
      <c r="B99" s="45">
        <f t="shared" si="12"/>
        <v>1436.3923506223839</v>
      </c>
      <c r="C99" s="45">
        <f t="shared" si="12"/>
        <v>1192.4342246290178</v>
      </c>
      <c r="D99" s="45">
        <f t="shared" si="12"/>
        <v>1003.1312437275691</v>
      </c>
      <c r="E99" s="45">
        <f t="shared" si="12"/>
        <v>851.96658689999651</v>
      </c>
      <c r="F99" s="45">
        <f t="shared" si="12"/>
        <v>728.46957599336224</v>
      </c>
      <c r="G99" s="45">
        <f t="shared" si="12"/>
        <v>625.68106842838506</v>
      </c>
      <c r="H99" s="47">
        <f t="shared" si="12"/>
        <v>538.79525846524314</v>
      </c>
      <c r="I99" s="45">
        <f t="shared" si="12"/>
        <v>464.38660719706172</v>
      </c>
      <c r="J99" s="45">
        <f t="shared" si="12"/>
        <v>399.94750909345788</v>
      </c>
      <c r="K99" s="45">
        <f t="shared" si="12"/>
        <v>343.6001262843651</v>
      </c>
      <c r="L99" s="45">
        <f t="shared" si="12"/>
        <v>293.91036593093514</v>
      </c>
      <c r="M99" s="45">
        <f t="shared" si="12"/>
        <v>249.76411701760833</v>
      </c>
      <c r="N99" s="45">
        <f t="shared" si="12"/>
        <v>210.28272063248309</v>
      </c>
      <c r="O99" s="45">
        <f t="shared" si="12"/>
        <v>174.76389183434296</v>
      </c>
      <c r="P99" s="45">
        <f t="shared" si="12"/>
        <v>142.639579722458</v>
      </c>
      <c r="Q99" s="45">
        <f t="shared" si="12"/>
        <v>113.44535838245709</v>
      </c>
    </row>
    <row r="100" spans="1:17">
      <c r="A100" s="46">
        <f>'a（自動）計算用'!G75</f>
        <v>30.514631570930302</v>
      </c>
      <c r="B100" s="45">
        <f t="shared" si="12"/>
        <v>1428.989192259156</v>
      </c>
      <c r="C100" s="45">
        <f t="shared" si="12"/>
        <v>1186.2884251203834</v>
      </c>
      <c r="D100" s="45">
        <f t="shared" si="12"/>
        <v>997.96111075296847</v>
      </c>
      <c r="E100" s="45">
        <f t="shared" si="12"/>
        <v>847.5755557445699</v>
      </c>
      <c r="F100" s="45">
        <f t="shared" si="12"/>
        <v>724.71504776050472</v>
      </c>
      <c r="G100" s="45">
        <f t="shared" si="12"/>
        <v>622.45631160449784</v>
      </c>
      <c r="H100" s="47">
        <f t="shared" si="12"/>
        <v>536.01831063337386</v>
      </c>
      <c r="I100" s="45">
        <f t="shared" si="12"/>
        <v>461.99316114915405</v>
      </c>
      <c r="J100" s="45">
        <f t="shared" si="12"/>
        <v>397.88618180672148</v>
      </c>
      <c r="K100" s="45">
        <f t="shared" si="12"/>
        <v>341.82921310217915</v>
      </c>
      <c r="L100" s="45">
        <f t="shared" si="12"/>
        <v>292.39555350337088</v>
      </c>
      <c r="M100" s="45">
        <f t="shared" si="12"/>
        <v>248.47683411685219</v>
      </c>
      <c r="N100" s="45">
        <f t="shared" si="12"/>
        <v>209.19892463397466</v>
      </c>
      <c r="O100" s="45">
        <f t="shared" si="12"/>
        <v>173.86315968628949</v>
      </c>
      <c r="P100" s="45">
        <f t="shared" si="12"/>
        <v>141.90441610431975</v>
      </c>
      <c r="Q100" s="45">
        <f t="shared" si="12"/>
        <v>112.86066162233124</v>
      </c>
    </row>
    <row r="101" spans="1:17">
      <c r="A101" s="46">
        <f>'a（自動）計算用'!G76</f>
        <v>30.628335443136372</v>
      </c>
      <c r="B101" s="45">
        <f t="shared" si="12"/>
        <v>1421.8470122390668</v>
      </c>
      <c r="C101" s="45">
        <f t="shared" si="12"/>
        <v>1180.3592791661281</v>
      </c>
      <c r="D101" s="45">
        <f t="shared" si="12"/>
        <v>992.97323684555465</v>
      </c>
      <c r="E101" s="45">
        <f t="shared" si="12"/>
        <v>843.33931852699891</v>
      </c>
      <c r="F101" s="45">
        <f t="shared" si="12"/>
        <v>721.09287527493825</v>
      </c>
      <c r="G101" s="45">
        <f t="shared" si="12"/>
        <v>619.34523486843693</v>
      </c>
      <c r="H101" s="47">
        <f t="shared" si="12"/>
        <v>533.33925659339525</v>
      </c>
      <c r="I101" s="45">
        <f t="shared" si="12"/>
        <v>459.68408957404944</v>
      </c>
      <c r="J101" s="45">
        <f t="shared" si="12"/>
        <v>395.89752104332069</v>
      </c>
      <c r="K101" s="45">
        <f t="shared" si="12"/>
        <v>340.12072867883552</v>
      </c>
      <c r="L101" s="45">
        <f t="shared" si="12"/>
        <v>290.93414169458521</v>
      </c>
      <c r="M101" s="45">
        <f t="shared" si="12"/>
        <v>247.23493089624159</v>
      </c>
      <c r="N101" s="45">
        <f t="shared" si="12"/>
        <v>208.15333493473923</v>
      </c>
      <c r="O101" s="45">
        <f t="shared" ref="B101:Q116" si="13">O$25*$A101^O$24</f>
        <v>172.99418041613993</v>
      </c>
      <c r="P101" s="45">
        <f t="shared" si="13"/>
        <v>141.19516869296575</v>
      </c>
      <c r="Q101" s="45">
        <f t="shared" si="13"/>
        <v>112.29657676650478</v>
      </c>
    </row>
    <row r="102" spans="1:17">
      <c r="A102" s="46">
        <f>'a（自動）計算用'!G77</f>
        <v>30.739008852816088</v>
      </c>
      <c r="B102" s="45">
        <f t="shared" si="13"/>
        <v>1414.9547031190307</v>
      </c>
      <c r="C102" s="45">
        <f t="shared" si="13"/>
        <v>1174.6375658209597</v>
      </c>
      <c r="D102" s="45">
        <f t="shared" si="13"/>
        <v>988.15986491640103</v>
      </c>
      <c r="E102" s="45">
        <f t="shared" si="13"/>
        <v>839.25128709581463</v>
      </c>
      <c r="F102" s="45">
        <f t="shared" si="13"/>
        <v>717.59742537219233</v>
      </c>
      <c r="G102" s="45">
        <f t="shared" si="13"/>
        <v>616.34299990645422</v>
      </c>
      <c r="H102" s="47">
        <f t="shared" si="13"/>
        <v>530.75392990870273</v>
      </c>
      <c r="I102" s="45">
        <f t="shared" si="13"/>
        <v>457.45580142797286</v>
      </c>
      <c r="J102" s="45">
        <f t="shared" si="13"/>
        <v>393.97843405899766</v>
      </c>
      <c r="K102" s="45">
        <f t="shared" si="13"/>
        <v>338.47201599736712</v>
      </c>
      <c r="L102" s="45">
        <f t="shared" si="13"/>
        <v>289.52385773233686</v>
      </c>
      <c r="M102" s="45">
        <f t="shared" si="13"/>
        <v>246.03647596097801</v>
      </c>
      <c r="N102" s="45">
        <f t="shared" si="13"/>
        <v>207.14432544469756</v>
      </c>
      <c r="O102" s="45">
        <f t="shared" si="13"/>
        <v>172.15560259649268</v>
      </c>
      <c r="P102" s="45">
        <f t="shared" si="13"/>
        <v>140.51073447429752</v>
      </c>
      <c r="Q102" s="45">
        <f t="shared" si="13"/>
        <v>111.75222655615565</v>
      </c>
    </row>
    <row r="103" spans="1:17">
      <c r="A103" s="46">
        <f>'a（自動）計算用'!G78</f>
        <v>30.846733427152206</v>
      </c>
      <c r="B103" s="45">
        <f t="shared" si="13"/>
        <v>1408.3017453961252</v>
      </c>
      <c r="C103" s="45">
        <f t="shared" si="13"/>
        <v>1169.1145522234806</v>
      </c>
      <c r="D103" s="45">
        <f t="shared" si="13"/>
        <v>983.51364847550076</v>
      </c>
      <c r="E103" s="45">
        <f t="shared" si="13"/>
        <v>835.30522202416637</v>
      </c>
      <c r="F103" s="45">
        <f t="shared" si="13"/>
        <v>714.22336306295858</v>
      </c>
      <c r="G103" s="45">
        <f t="shared" si="13"/>
        <v>613.44502450685491</v>
      </c>
      <c r="H103" s="47">
        <f t="shared" si="13"/>
        <v>528.25838468088386</v>
      </c>
      <c r="I103" s="45">
        <f t="shared" si="13"/>
        <v>455.30489574859712</v>
      </c>
      <c r="J103" s="45">
        <f t="shared" si="13"/>
        <v>392.12599181490805</v>
      </c>
      <c r="K103" s="45">
        <f t="shared" si="13"/>
        <v>336.8805586822649</v>
      </c>
      <c r="L103" s="45">
        <f t="shared" si="13"/>
        <v>288.16254914696674</v>
      </c>
      <c r="M103" s="45">
        <f t="shared" si="13"/>
        <v>244.87964014902386</v>
      </c>
      <c r="N103" s="45">
        <f t="shared" si="13"/>
        <v>206.1703561461147</v>
      </c>
      <c r="O103" s="45">
        <f t="shared" si="13"/>
        <v>171.34614633382148</v>
      </c>
      <c r="P103" s="45">
        <f t="shared" si="13"/>
        <v>139.85006881905693</v>
      </c>
      <c r="Q103" s="45">
        <f t="shared" si="13"/>
        <v>111.22678016760359</v>
      </c>
    </row>
    <row r="104" spans="1:17">
      <c r="A104" s="46">
        <f>'a（自動）計算用'!G79</f>
        <v>30.951588530301056</v>
      </c>
      <c r="B104" s="45">
        <f t="shared" si="13"/>
        <v>1401.8781694316938</v>
      </c>
      <c r="C104" s="45">
        <f t="shared" si="13"/>
        <v>1163.7819619871336</v>
      </c>
      <c r="D104" s="45">
        <f t="shared" si="13"/>
        <v>979.02762504075702</v>
      </c>
      <c r="E104" s="45">
        <f t="shared" si="13"/>
        <v>831.49521002588597</v>
      </c>
      <c r="F104" s="45">
        <f t="shared" si="13"/>
        <v>710.96563222281384</v>
      </c>
      <c r="G104" s="45">
        <f t="shared" si="13"/>
        <v>610.64696597443867</v>
      </c>
      <c r="H104" s="47">
        <f t="shared" si="13"/>
        <v>525.84888126733028</v>
      </c>
      <c r="I104" s="45">
        <f t="shared" si="13"/>
        <v>453.22814934507971</v>
      </c>
      <c r="J104" s="45">
        <f t="shared" si="13"/>
        <v>390.33741837580988</v>
      </c>
      <c r="K104" s="45">
        <f t="shared" si="13"/>
        <v>335.34397189132329</v>
      </c>
      <c r="L104" s="45">
        <f t="shared" si="13"/>
        <v>286.84817598041991</v>
      </c>
      <c r="M104" s="45">
        <f t="shared" si="13"/>
        <v>243.76268991035363</v>
      </c>
      <c r="N104" s="45">
        <f t="shared" si="13"/>
        <v>205.22996751942452</v>
      </c>
      <c r="O104" s="45">
        <f t="shared" si="13"/>
        <v>170.56459863583274</v>
      </c>
      <c r="P104" s="45">
        <f t="shared" si="13"/>
        <v>139.21218170173501</v>
      </c>
      <c r="Q104" s="45">
        <f t="shared" si="13"/>
        <v>110.71945020509989</v>
      </c>
    </row>
    <row r="105" spans="1:17">
      <c r="A105" s="46">
        <f>'a（自動）計算用'!G80</f>
        <v>31.053651329577239</v>
      </c>
      <c r="B105" s="45">
        <f t="shared" si="13"/>
        <v>1395.6745202785182</v>
      </c>
      <c r="C105" s="45">
        <f t="shared" si="13"/>
        <v>1158.6319460011587</v>
      </c>
      <c r="D105" s="45">
        <f t="shared" si="13"/>
        <v>974.69519157438697</v>
      </c>
      <c r="E105" s="45">
        <f t="shared" si="13"/>
        <v>827.81564309344867</v>
      </c>
      <c r="F105" s="45">
        <f t="shared" si="13"/>
        <v>707.81943775424315</v>
      </c>
      <c r="G105" s="45">
        <f t="shared" si="13"/>
        <v>607.94470580949701</v>
      </c>
      <c r="H105" s="47">
        <f t="shared" si="13"/>
        <v>523.52187308780003</v>
      </c>
      <c r="I105" s="45">
        <f t="shared" si="13"/>
        <v>451.22250542666438</v>
      </c>
      <c r="J105" s="45">
        <f t="shared" si="13"/>
        <v>388.61008111658037</v>
      </c>
      <c r="K105" s="45">
        <f t="shared" si="13"/>
        <v>333.85999390193109</v>
      </c>
      <c r="L105" s="45">
        <f t="shared" si="13"/>
        <v>285.57880358928531</v>
      </c>
      <c r="M105" s="45">
        <f t="shared" si="13"/>
        <v>242.68398119099953</v>
      </c>
      <c r="N105" s="45">
        <f t="shared" si="13"/>
        <v>204.32177539405299</v>
      </c>
      <c r="O105" s="45">
        <f t="shared" si="13"/>
        <v>169.80980913203592</v>
      </c>
      <c r="P105" s="45">
        <f t="shared" si="13"/>
        <v>138.59613420776782</v>
      </c>
      <c r="Q105" s="45">
        <f t="shared" si="13"/>
        <v>110.22948992289977</v>
      </c>
    </row>
    <row r="106" spans="1:17">
      <c r="A106" s="46">
        <f>'a（自動）計算用'!G81</f>
        <v>31.152996859692191</v>
      </c>
      <c r="B106" s="45">
        <f t="shared" si="13"/>
        <v>1389.6818251592267</v>
      </c>
      <c r="C106" s="45">
        <f t="shared" si="13"/>
        <v>1153.657055432496</v>
      </c>
      <c r="D106" s="45">
        <f t="shared" si="13"/>
        <v>970.51008177086408</v>
      </c>
      <c r="E106" s="45">
        <f t="shared" si="13"/>
        <v>824.2611992084594</v>
      </c>
      <c r="F106" s="45">
        <f t="shared" si="13"/>
        <v>704.7802290932417</v>
      </c>
      <c r="G106" s="45">
        <f t="shared" si="13"/>
        <v>605.33433554166652</v>
      </c>
      <c r="H106" s="47">
        <f t="shared" si="13"/>
        <v>521.27399442546732</v>
      </c>
      <c r="I106" s="45">
        <f t="shared" si="13"/>
        <v>449.28506308842833</v>
      </c>
      <c r="J106" s="45">
        <f t="shared" si="13"/>
        <v>386.9414816669393</v>
      </c>
      <c r="K106" s="45">
        <f t="shared" si="13"/>
        <v>332.42647833156479</v>
      </c>
      <c r="L106" s="45">
        <f t="shared" si="13"/>
        <v>284.35259599032372</v>
      </c>
      <c r="M106" s="45">
        <f t="shared" si="13"/>
        <v>241.64195377810148</v>
      </c>
      <c r="N106" s="45">
        <f t="shared" si="13"/>
        <v>203.44446618737308</v>
      </c>
      <c r="O106" s="45">
        <f t="shared" si="13"/>
        <v>169.08068611688603</v>
      </c>
      <c r="P106" s="45">
        <f t="shared" si="13"/>
        <v>138.00103530401066</v>
      </c>
      <c r="Q106" s="45">
        <f t="shared" si="13"/>
        <v>109.75619065672765</v>
      </c>
    </row>
    <row r="107" spans="1:17">
      <c r="A107" s="46">
        <f>'a（自動）計算用'!G82</f>
        <v>31.249698085070811</v>
      </c>
      <c r="B107" s="45">
        <f t="shared" si="13"/>
        <v>1383.89156336829</v>
      </c>
      <c r="C107" s="45">
        <f t="shared" si="13"/>
        <v>1148.8502167396534</v>
      </c>
      <c r="D107" s="45">
        <f t="shared" si="13"/>
        <v>966.46634503741939</v>
      </c>
      <c r="E107" s="45">
        <f t="shared" si="13"/>
        <v>820.8268244896409</v>
      </c>
      <c r="F107" s="45">
        <f t="shared" si="13"/>
        <v>701.84368494504531</v>
      </c>
      <c r="G107" s="45">
        <f t="shared" si="13"/>
        <v>602.81214361947787</v>
      </c>
      <c r="H107" s="47">
        <f t="shared" si="13"/>
        <v>519.1020491370665</v>
      </c>
      <c r="I107" s="45">
        <f t="shared" si="13"/>
        <v>447.41306758057783</v>
      </c>
      <c r="J107" s="45">
        <f t="shared" si="13"/>
        <v>385.32924753099394</v>
      </c>
      <c r="K107" s="45">
        <f t="shared" si="13"/>
        <v>331.04138693803054</v>
      </c>
      <c r="L107" s="45">
        <f t="shared" si="13"/>
        <v>283.16780970190274</v>
      </c>
      <c r="M107" s="45">
        <f t="shared" si="13"/>
        <v>240.63512606637809</v>
      </c>
      <c r="N107" s="45">
        <f t="shared" si="13"/>
        <v>202.59679249846423</v>
      </c>
      <c r="O107" s="45">
        <f t="shared" si="13"/>
        <v>168.37619288780044</v>
      </c>
      <c r="P107" s="45">
        <f t="shared" si="13"/>
        <v>137.42603884988421</v>
      </c>
      <c r="Q107" s="45">
        <f t="shared" si="13"/>
        <v>109.2988794466558</v>
      </c>
    </row>
    <row r="108" spans="1:17">
      <c r="A108" s="46">
        <f>'a（自動）計算用'!G83</f>
        <v>31.34382596027713</v>
      </c>
      <c r="B108" s="45">
        <f t="shared" si="13"/>
        <v>1378.2956383918188</v>
      </c>
      <c r="C108" s="45">
        <f t="shared" si="13"/>
        <v>1144.204708527702</v>
      </c>
      <c r="D108" s="45">
        <f t="shared" si="13"/>
        <v>962.55832702338478</v>
      </c>
      <c r="E108" s="45">
        <f t="shared" si="13"/>
        <v>817.50771665626451</v>
      </c>
      <c r="F108" s="45">
        <f t="shared" si="13"/>
        <v>699.00569914462358</v>
      </c>
      <c r="G108" s="45">
        <f t="shared" si="13"/>
        <v>600.37460326596192</v>
      </c>
      <c r="H108" s="47">
        <f t="shared" si="13"/>
        <v>517.00300019494182</v>
      </c>
      <c r="I108" s="45">
        <f t="shared" si="13"/>
        <v>445.60390129475996</v>
      </c>
      <c r="J108" s="45">
        <f t="shared" si="13"/>
        <v>383.77112432430619</v>
      </c>
      <c r="K108" s="45">
        <f t="shared" si="13"/>
        <v>329.70278295022723</v>
      </c>
      <c r="L108" s="45">
        <f t="shared" si="13"/>
        <v>282.02278803923235</v>
      </c>
      <c r="M108" s="45">
        <f t="shared" si="13"/>
        <v>239.66209021023508</v>
      </c>
      <c r="N108" s="45">
        <f t="shared" si="13"/>
        <v>201.7775690265502</v>
      </c>
      <c r="O108" s="45">
        <f t="shared" si="13"/>
        <v>167.69534435301301</v>
      </c>
      <c r="P108" s="45">
        <f t="shared" si="13"/>
        <v>136.87034082875761</v>
      </c>
      <c r="Q108" s="45">
        <f t="shared" si="13"/>
        <v>108.85691683514366</v>
      </c>
    </row>
    <row r="109" spans="1:17">
      <c r="A109" s="46">
        <f>'a（自動）計算用'!G84</f>
        <v>31.435449488585853</v>
      </c>
      <c r="B109" s="45">
        <f t="shared" si="13"/>
        <v>1372.886352058717</v>
      </c>
      <c r="C109" s="45">
        <f t="shared" si="13"/>
        <v>1139.7141400896191</v>
      </c>
      <c r="D109" s="45">
        <f t="shared" si="13"/>
        <v>958.78065156817104</v>
      </c>
      <c r="E109" s="45">
        <f t="shared" si="13"/>
        <v>814.29930969643863</v>
      </c>
      <c r="F109" s="45">
        <f t="shared" si="13"/>
        <v>696.26236754737999</v>
      </c>
      <c r="G109" s="45">
        <f t="shared" si="13"/>
        <v>598.01836121909798</v>
      </c>
      <c r="H109" s="47">
        <f t="shared" si="13"/>
        <v>514.97395999106357</v>
      </c>
      <c r="I109" s="45">
        <f t="shared" si="13"/>
        <v>443.85507540711291</v>
      </c>
      <c r="J109" s="45">
        <f t="shared" si="13"/>
        <v>382.26496857656781</v>
      </c>
      <c r="K109" s="45">
        <f t="shared" si="13"/>
        <v>328.40882488483044</v>
      </c>
      <c r="L109" s="45">
        <f t="shared" si="13"/>
        <v>280.91595582524968</v>
      </c>
      <c r="M109" s="45">
        <f t="shared" si="13"/>
        <v>238.721507629092</v>
      </c>
      <c r="N109" s="45">
        <f t="shared" si="13"/>
        <v>200.98566878681982</v>
      </c>
      <c r="O109" s="45">
        <f t="shared" si="13"/>
        <v>167.03720388658016</v>
      </c>
      <c r="P109" s="45">
        <f t="shared" si="13"/>
        <v>136.33317678105311</v>
      </c>
      <c r="Q109" s="45">
        <f t="shared" si="13"/>
        <v>108.42969482551227</v>
      </c>
    </row>
    <row r="110" spans="1:17">
      <c r="A110" s="46">
        <f>'a（自動）計算用'!G85</f>
        <v>31.52463577874099</v>
      </c>
      <c r="B110" s="45">
        <f t="shared" si="13"/>
        <v>1367.6563805542933</v>
      </c>
      <c r="C110" s="45">
        <f t="shared" si="13"/>
        <v>1135.3724314937699</v>
      </c>
      <c r="D110" s="45">
        <f t="shared" si="13"/>
        <v>955.12820394992866</v>
      </c>
      <c r="E110" s="45">
        <f t="shared" si="13"/>
        <v>811.19725964007523</v>
      </c>
      <c r="F110" s="45">
        <f t="shared" si="13"/>
        <v>693.60997586440146</v>
      </c>
      <c r="G110" s="45">
        <f t="shared" si="13"/>
        <v>595.74022728353373</v>
      </c>
      <c r="H110" s="47">
        <f t="shared" si="13"/>
        <v>513.01218133965892</v>
      </c>
      <c r="I110" s="45">
        <f t="shared" si="13"/>
        <v>442.16422212345105</v>
      </c>
      <c r="J110" s="45">
        <f t="shared" si="13"/>
        <v>380.80874105285693</v>
      </c>
      <c r="K110" s="45">
        <f t="shared" si="13"/>
        <v>327.15776080849713</v>
      </c>
      <c r="L110" s="45">
        <f t="shared" si="13"/>
        <v>279.84581448259524</v>
      </c>
      <c r="M110" s="45">
        <f t="shared" si="13"/>
        <v>237.81210483655858</v>
      </c>
      <c r="N110" s="45">
        <f t="shared" si="13"/>
        <v>200.22001959890534</v>
      </c>
      <c r="O110" s="45">
        <f t="shared" si="13"/>
        <v>166.40088040998984</v>
      </c>
      <c r="P110" s="45">
        <f t="shared" si="13"/>
        <v>135.81381942230067</v>
      </c>
      <c r="Q110" s="45">
        <f t="shared" si="13"/>
        <v>108.01663498751445</v>
      </c>
    </row>
    <row r="111" spans="1:17">
      <c r="A111" s="46">
        <f>'a（自動）計算用'!G86</f>
        <v>31.611450099945927</v>
      </c>
      <c r="B111" s="45">
        <f t="shared" si="13"/>
        <v>1362.5987521430013</v>
      </c>
      <c r="C111" s="45">
        <f t="shared" si="13"/>
        <v>1131.1737950902361</v>
      </c>
      <c r="D111" s="45">
        <f t="shared" si="13"/>
        <v>951.59611532781037</v>
      </c>
      <c r="E111" s="45">
        <f t="shared" si="13"/>
        <v>808.19743134559167</v>
      </c>
      <c r="F111" s="45">
        <f t="shared" si="13"/>
        <v>691.04498836449625</v>
      </c>
      <c r="G111" s="45">
        <f t="shared" si="13"/>
        <v>593.53716462678835</v>
      </c>
      <c r="H111" s="47">
        <f t="shared" si="13"/>
        <v>511.11504912094273</v>
      </c>
      <c r="I111" s="45">
        <f t="shared" si="13"/>
        <v>440.52908747701156</v>
      </c>
      <c r="J111" s="45">
        <f t="shared" si="13"/>
        <v>379.4005005507824</v>
      </c>
      <c r="K111" s="45">
        <f t="shared" si="13"/>
        <v>325.94792300891106</v>
      </c>
      <c r="L111" s="45">
        <f t="shared" si="13"/>
        <v>278.81093747530588</v>
      </c>
      <c r="M111" s="45">
        <f t="shared" si="13"/>
        <v>236.93266956679949</v>
      </c>
      <c r="N111" s="45">
        <f t="shared" si="13"/>
        <v>199.47960082557105</v>
      </c>
      <c r="O111" s="45">
        <f t="shared" si="13"/>
        <v>165.78552568171776</v>
      </c>
      <c r="P111" s="45">
        <f t="shared" si="13"/>
        <v>135.31157643091572</v>
      </c>
      <c r="Q111" s="45">
        <f t="shared" si="13"/>
        <v>107.61718669789101</v>
      </c>
    </row>
    <row r="112" spans="1:17">
      <c r="A112" s="46">
        <f>'a（自動）計算用'!G87</f>
        <v>31.695955935131838</v>
      </c>
      <c r="B112" s="45">
        <f t="shared" si="13"/>
        <v>1357.7068264611178</v>
      </c>
      <c r="C112" s="45">
        <f t="shared" si="13"/>
        <v>1127.1127183204442</v>
      </c>
      <c r="D112" s="45">
        <f t="shared" si="13"/>
        <v>948.17974828062836</v>
      </c>
      <c r="E112" s="45">
        <f t="shared" si="13"/>
        <v>805.29588621778805</v>
      </c>
      <c r="F112" s="45">
        <f t="shared" si="13"/>
        <v>688.56403737243022</v>
      </c>
      <c r="G112" s="45">
        <f t="shared" si="13"/>
        <v>591.40628075930817</v>
      </c>
      <c r="H112" s="47">
        <f t="shared" si="13"/>
        <v>509.28007251373577</v>
      </c>
      <c r="I112" s="45">
        <f t="shared" si="13"/>
        <v>438.94752463376358</v>
      </c>
      <c r="J112" s="45">
        <f t="shared" si="13"/>
        <v>378.03839813475946</v>
      </c>
      <c r="K112" s="45">
        <f t="shared" si="13"/>
        <v>324.77772304137392</v>
      </c>
      <c r="L112" s="45">
        <f t="shared" si="13"/>
        <v>277.80996607174308</v>
      </c>
      <c r="M112" s="45">
        <f t="shared" si="13"/>
        <v>236.08204717388438</v>
      </c>
      <c r="N112" s="45">
        <f t="shared" si="13"/>
        <v>198.76344034123497</v>
      </c>
      <c r="O112" s="45">
        <f t="shared" si="13"/>
        <v>165.19033177779596</v>
      </c>
      <c r="P112" s="45">
        <f t="shared" si="13"/>
        <v>134.82578839187821</v>
      </c>
      <c r="Q112" s="45">
        <f t="shared" si="13"/>
        <v>107.23082550491949</v>
      </c>
    </row>
    <row r="113" spans="1:17">
      <c r="A113" s="46">
        <f>'a（自動）計算用'!G88</f>
        <v>31.778215032552865</v>
      </c>
      <c r="B113" s="45">
        <f t="shared" si="13"/>
        <v>1352.9742752527609</v>
      </c>
      <c r="C113" s="45">
        <f t="shared" si="13"/>
        <v>1123.1839477249944</v>
      </c>
      <c r="D113" s="45">
        <f t="shared" si="13"/>
        <v>944.87468335349593</v>
      </c>
      <c r="E113" s="45">
        <f t="shared" si="13"/>
        <v>802.48887078181326</v>
      </c>
      <c r="F113" s="45">
        <f t="shared" si="13"/>
        <v>686.16391349915511</v>
      </c>
      <c r="G113" s="45">
        <f t="shared" si="13"/>
        <v>589.34481914322976</v>
      </c>
      <c r="H113" s="47">
        <f t="shared" si="13"/>
        <v>507.50487776948512</v>
      </c>
      <c r="I113" s="45">
        <f t="shared" si="13"/>
        <v>437.41748766434995</v>
      </c>
      <c r="J113" s="45">
        <f t="shared" si="13"/>
        <v>376.7206717721682</v>
      </c>
      <c r="K113" s="45">
        <f t="shared" si="13"/>
        <v>323.64564712065902</v>
      </c>
      <c r="L113" s="45">
        <f t="shared" si="13"/>
        <v>276.84160540285455</v>
      </c>
      <c r="M113" s="45">
        <f t="shared" si="13"/>
        <v>235.25913728211023</v>
      </c>
      <c r="N113" s="45">
        <f t="shared" si="13"/>
        <v>198.07061171179078</v>
      </c>
      <c r="O113" s="45">
        <f t="shared" si="13"/>
        <v>164.61452874799051</v>
      </c>
      <c r="P113" s="45">
        <f t="shared" si="13"/>
        <v>134.35582688374114</v>
      </c>
      <c r="Q113" s="45">
        <f t="shared" si="13"/>
        <v>106.85705160695719</v>
      </c>
    </row>
    <row r="114" spans="1:17">
      <c r="A114" s="46">
        <f>'a（自動）計算用'!G89</f>
        <v>31.858287455757491</v>
      </c>
      <c r="B114" s="45">
        <f t="shared" si="13"/>
        <v>1348.3950644340632</v>
      </c>
      <c r="C114" s="45">
        <f t="shared" si="13"/>
        <v>1119.3824740540711</v>
      </c>
      <c r="D114" s="45">
        <f t="shared" si="13"/>
        <v>941.67670653200923</v>
      </c>
      <c r="E114" s="45">
        <f t="shared" si="13"/>
        <v>799.77280604489715</v>
      </c>
      <c r="F114" s="45">
        <f t="shared" si="13"/>
        <v>683.84155654561403</v>
      </c>
      <c r="G114" s="45">
        <f t="shared" si="13"/>
        <v>587.35015137967605</v>
      </c>
      <c r="H114" s="47">
        <f t="shared" si="13"/>
        <v>505.78720148447985</v>
      </c>
      <c r="I114" s="45">
        <f t="shared" si="13"/>
        <v>435.93702574542243</v>
      </c>
      <c r="J114" s="45">
        <f t="shared" si="13"/>
        <v>375.4456413393213</v>
      </c>
      <c r="K114" s="45">
        <f t="shared" si="13"/>
        <v>322.55025183057307</v>
      </c>
      <c r="L114" s="45">
        <f t="shared" si="13"/>
        <v>275.90462079219776</v>
      </c>
      <c r="M114" s="45">
        <f t="shared" si="13"/>
        <v>234.46289066726717</v>
      </c>
      <c r="N114" s="45">
        <f t="shared" si="13"/>
        <v>197.40023156886659</v>
      </c>
      <c r="O114" s="45">
        <f t="shared" si="13"/>
        <v>164.05738243357385</v>
      </c>
      <c r="P114" s="45">
        <f t="shared" si="13"/>
        <v>133.90109269753043</v>
      </c>
      <c r="Q114" s="45">
        <f t="shared" si="13"/>
        <v>106.49538843588077</v>
      </c>
    </row>
    <row r="115" spans="1:17">
      <c r="A115" s="46">
        <f>'a（自動）計算用'!G90</f>
        <v>31.936231631986093</v>
      </c>
      <c r="B115" s="45">
        <f t="shared" si="13"/>
        <v>1343.9634373805748</v>
      </c>
      <c r="C115" s="45">
        <f t="shared" si="13"/>
        <v>1115.7035183933272</v>
      </c>
      <c r="D115" s="45">
        <f t="shared" si="13"/>
        <v>938.58179757069627</v>
      </c>
      <c r="E115" s="45">
        <f t="shared" si="13"/>
        <v>797.14427758361819</v>
      </c>
      <c r="F115" s="45">
        <f t="shared" si="13"/>
        <v>681.59404702691143</v>
      </c>
      <c r="G115" s="45">
        <f t="shared" si="13"/>
        <v>585.41976992888272</v>
      </c>
      <c r="H115" s="47">
        <f t="shared" si="13"/>
        <v>504.12488433090317</v>
      </c>
      <c r="I115" s="45">
        <f t="shared" si="13"/>
        <v>434.50427775644823</v>
      </c>
      <c r="J115" s="45">
        <f t="shared" si="13"/>
        <v>374.21170396802728</v>
      </c>
      <c r="K115" s="45">
        <f t="shared" si="13"/>
        <v>321.49016012612753</v>
      </c>
      <c r="L115" s="45">
        <f t="shared" si="13"/>
        <v>274.99783433625771</v>
      </c>
      <c r="M115" s="45">
        <f t="shared" si="13"/>
        <v>233.69230635060308</v>
      </c>
      <c r="N115" s="45">
        <f t="shared" si="13"/>
        <v>196.7514571631603</v>
      </c>
      <c r="O115" s="45">
        <f t="shared" si="13"/>
        <v>163.51819243392617</v>
      </c>
      <c r="P115" s="45">
        <f t="shared" si="13"/>
        <v>133.46101417711614</v>
      </c>
      <c r="Q115" s="45">
        <f t="shared" si="13"/>
        <v>106.1453813371361</v>
      </c>
    </row>
    <row r="116" spans="1:17">
      <c r="A116" s="46">
        <f>'a（自動）計算用'!G91</f>
        <v>32.012104399044432</v>
      </c>
      <c r="B116" s="45">
        <f t="shared" si="13"/>
        <v>1339.6738993422562</v>
      </c>
      <c r="C116" s="45">
        <f t="shared" si="13"/>
        <v>1112.1425192258484</v>
      </c>
      <c r="D116" s="45">
        <f t="shared" si="13"/>
        <v>935.58611910893705</v>
      </c>
      <c r="E116" s="45">
        <f t="shared" si="13"/>
        <v>794.60002629997655</v>
      </c>
      <c r="F116" s="45">
        <f t="shared" si="13"/>
        <v>679.41859826834116</v>
      </c>
      <c r="G116" s="45">
        <f t="shared" si="13"/>
        <v>583.55128132149321</v>
      </c>
      <c r="H116" s="47">
        <f t="shared" si="13"/>
        <v>502.51586521084801</v>
      </c>
      <c r="I116" s="45">
        <f t="shared" si="13"/>
        <v>433.11746724106609</v>
      </c>
      <c r="J116" s="45">
        <f t="shared" si="13"/>
        <v>373.01732970611766</v>
      </c>
      <c r="K116" s="45">
        <f t="shared" si="13"/>
        <v>320.46405760544138</v>
      </c>
      <c r="L116" s="45">
        <f t="shared" si="13"/>
        <v>274.12012171548901</v>
      </c>
      <c r="M116" s="45">
        <f t="shared" si="13"/>
        <v>232.94642888885673</v>
      </c>
      <c r="N116" s="45">
        <f t="shared" si="13"/>
        <v>196.12348408285024</v>
      </c>
      <c r="O116" s="45">
        <f t="shared" si="13"/>
        <v>162.99629021032885</v>
      </c>
      <c r="P116" s="45">
        <f t="shared" si="13"/>
        <v>133.03504567155835</v>
      </c>
      <c r="Q116" s="45">
        <f t="shared" si="13"/>
        <v>105.8065963388441</v>
      </c>
    </row>
    <row r="117" spans="1:17">
      <c r="A117" s="46">
        <f>'a（自動）計算用'!G92</f>
        <v>32.085961050702814</v>
      </c>
      <c r="B117" s="45">
        <f t="shared" ref="B117:Q132" si="14">B$25*$A117^B$24</f>
        <v>1335.5212028987064</v>
      </c>
      <c r="C117" s="45">
        <f t="shared" si="14"/>
        <v>1108.6951203576782</v>
      </c>
      <c r="D117" s="45">
        <f t="shared" si="14"/>
        <v>932.68600651335259</v>
      </c>
      <c r="E117" s="45">
        <f t="shared" si="14"/>
        <v>792.13693979446168</v>
      </c>
      <c r="F117" s="45">
        <f t="shared" si="14"/>
        <v>677.31254902897342</v>
      </c>
      <c r="G117" s="45">
        <f t="shared" si="14"/>
        <v>581.74239982297149</v>
      </c>
      <c r="H117" s="47">
        <f t="shared" si="14"/>
        <v>500.95817580052739</v>
      </c>
      <c r="I117" s="45">
        <f t="shared" si="14"/>
        <v>431.77489770475262</v>
      </c>
      <c r="J117" s="45">
        <f t="shared" si="14"/>
        <v>371.86105746761729</v>
      </c>
      <c r="K117" s="45">
        <f t="shared" si="14"/>
        <v>319.47068903047921</v>
      </c>
      <c r="L117" s="45">
        <f t="shared" si="14"/>
        <v>273.27040921820725</v>
      </c>
      <c r="M117" s="45">
        <f t="shared" si="14"/>
        <v>232.22434584517026</v>
      </c>
      <c r="N117" s="45">
        <f t="shared" si="14"/>
        <v>195.51554412429218</v>
      </c>
      <c r="O117" s="45">
        <f t="shared" si="14"/>
        <v>162.49103731632189</v>
      </c>
      <c r="P117" s="45">
        <f t="shared" si="14"/>
        <v>132.62266609075218</v>
      </c>
      <c r="Q117" s="45">
        <f t="shared" si="14"/>
        <v>105.478619003064</v>
      </c>
    </row>
    <row r="118" spans="1:17">
      <c r="A118" s="46">
        <f>'a（自動）計算用'!G93</f>
        <v>32.157855380669837</v>
      </c>
      <c r="B118" s="45">
        <f t="shared" si="14"/>
        <v>1331.5003343749449</v>
      </c>
      <c r="C118" s="45">
        <f t="shared" si="14"/>
        <v>1105.3571596407548</v>
      </c>
      <c r="D118" s="45">
        <f t="shared" si="14"/>
        <v>929.87795839101466</v>
      </c>
      <c r="E118" s="45">
        <f t="shared" si="14"/>
        <v>789.75204430885265</v>
      </c>
      <c r="F118" s="45">
        <f t="shared" si="14"/>
        <v>675.27335661238874</v>
      </c>
      <c r="G118" s="45">
        <f t="shared" si="14"/>
        <v>579.99094151642521</v>
      </c>
      <c r="H118" s="47">
        <f t="shared" si="14"/>
        <v>499.44993545479167</v>
      </c>
      <c r="I118" s="45">
        <f t="shared" si="14"/>
        <v>430.4749482230348</v>
      </c>
      <c r="J118" s="45">
        <f t="shared" si="14"/>
        <v>370.74149125036899</v>
      </c>
      <c r="K118" s="45">
        <f t="shared" si="14"/>
        <v>318.50885507756334</v>
      </c>
      <c r="L118" s="45">
        <f t="shared" si="14"/>
        <v>272.4476709610264</v>
      </c>
      <c r="M118" s="45">
        <f t="shared" si="14"/>
        <v>231.52518542702546</v>
      </c>
      <c r="N118" s="45">
        <f t="shared" si="14"/>
        <v>194.92690330333841</v>
      </c>
      <c r="O118" s="45">
        <f t="shared" si="14"/>
        <v>162.00182374493085</v>
      </c>
      <c r="P118" s="45">
        <f t="shared" si="14"/>
        <v>132.22337755645992</v>
      </c>
      <c r="Q118" s="45">
        <f t="shared" si="14"/>
        <v>105.16105335292028</v>
      </c>
    </row>
    <row r="119" spans="1:17">
      <c r="A119" s="46">
        <f>'a（自動）計算用'!G94</f>
        <v>32.227839725188701</v>
      </c>
      <c r="B119" s="45">
        <f t="shared" si="14"/>
        <v>1327.6065011448043</v>
      </c>
      <c r="C119" s="45">
        <f t="shared" si="14"/>
        <v>1102.1246584327071</v>
      </c>
      <c r="D119" s="45">
        <f t="shared" si="14"/>
        <v>927.15862772253377</v>
      </c>
      <c r="E119" s="45">
        <f t="shared" si="14"/>
        <v>787.44249719548679</v>
      </c>
      <c r="F119" s="45">
        <f t="shared" si="14"/>
        <v>673.29859042756436</v>
      </c>
      <c r="G119" s="45">
        <f t="shared" si="14"/>
        <v>578.29481877206456</v>
      </c>
      <c r="H119" s="47">
        <f t="shared" si="14"/>
        <v>497.98934644459183</v>
      </c>
      <c r="I119" s="45">
        <f t="shared" si="14"/>
        <v>429.21606933666874</v>
      </c>
      <c r="J119" s="45">
        <f t="shared" si="14"/>
        <v>369.65729660080456</v>
      </c>
      <c r="K119" s="45">
        <f t="shared" si="14"/>
        <v>317.57740930021231</v>
      </c>
      <c r="L119" s="45">
        <f t="shared" si="14"/>
        <v>271.65092629091674</v>
      </c>
      <c r="M119" s="45">
        <f t="shared" si="14"/>
        <v>230.84811427852031</v>
      </c>
      <c r="N119" s="45">
        <f t="shared" si="14"/>
        <v>194.35685999659958</v>
      </c>
      <c r="O119" s="45">
        <f t="shared" si="14"/>
        <v>161.52806638388782</v>
      </c>
      <c r="P119" s="45">
        <f t="shared" si="14"/>
        <v>131.83670414148668</v>
      </c>
      <c r="Q119" s="45">
        <f t="shared" si="14"/>
        <v>104.85352086983275</v>
      </c>
    </row>
    <row r="120" spans="1:17">
      <c r="A120" s="46">
        <f>'a（自動）計算用'!G95</f>
        <v>32.295965004303454</v>
      </c>
      <c r="B120" s="45">
        <f t="shared" si="14"/>
        <v>1323.8351197552379</v>
      </c>
      <c r="C120" s="45">
        <f t="shared" si="14"/>
        <v>1098.9938117381398</v>
      </c>
      <c r="D120" s="45">
        <f t="shared" si="14"/>
        <v>924.5248135684501</v>
      </c>
      <c r="E120" s="45">
        <f t="shared" si="14"/>
        <v>785.20557987343705</v>
      </c>
      <c r="F120" s="45">
        <f t="shared" si="14"/>
        <v>671.38592596609169</v>
      </c>
      <c r="G120" s="45">
        <f t="shared" si="14"/>
        <v>576.65203507424519</v>
      </c>
      <c r="H120" s="47">
        <f t="shared" si="14"/>
        <v>496.57468950236989</v>
      </c>
      <c r="I120" s="45">
        <f t="shared" si="14"/>
        <v>427.99677921222047</v>
      </c>
      <c r="J120" s="45">
        <f t="shared" si="14"/>
        <v>368.60719730728988</v>
      </c>
      <c r="K120" s="45">
        <f t="shared" si="14"/>
        <v>316.67525528835051</v>
      </c>
      <c r="L120" s="45">
        <f t="shared" si="14"/>
        <v>270.87923735523543</v>
      </c>
      <c r="M120" s="45">
        <f t="shared" si="14"/>
        <v>230.19233541538898</v>
      </c>
      <c r="N120" s="45">
        <f t="shared" si="14"/>
        <v>193.80474320288573</v>
      </c>
      <c r="O120" s="45">
        <f t="shared" si="14"/>
        <v>161.06920757073232</v>
      </c>
      <c r="P120" s="45">
        <f t="shared" si="14"/>
        <v>131.46219069037582</v>
      </c>
      <c r="Q120" s="45">
        <f t="shared" si="14"/>
        <v>104.55565955558188</v>
      </c>
    </row>
    <row r="121" spans="1:17">
      <c r="A121" s="46">
        <f>'a（自動）計算用'!G96</f>
        <v>32.362280761840779</v>
      </c>
      <c r="B121" s="45">
        <f t="shared" si="14"/>
        <v>1320.1818048104606</v>
      </c>
      <c r="C121" s="45">
        <f t="shared" si="14"/>
        <v>1095.9609789807016</v>
      </c>
      <c r="D121" s="45">
        <f t="shared" si="14"/>
        <v>921.97345330626615</v>
      </c>
      <c r="E121" s="45">
        <f t="shared" si="14"/>
        <v>783.03869123536811</v>
      </c>
      <c r="F121" s="45">
        <f t="shared" si="14"/>
        <v>669.53313916474247</v>
      </c>
      <c r="G121" s="45">
        <f t="shared" si="14"/>
        <v>575.06068017948871</v>
      </c>
      <c r="H121" s="47">
        <f t="shared" si="14"/>
        <v>495.20431965246553</v>
      </c>
      <c r="I121" s="45">
        <f t="shared" si="14"/>
        <v>426.81566004830103</v>
      </c>
      <c r="J121" s="45">
        <f t="shared" si="14"/>
        <v>367.58997230503718</v>
      </c>
      <c r="K121" s="45">
        <f t="shared" si="14"/>
        <v>315.80134400927824</v>
      </c>
      <c r="L121" s="45">
        <f t="shared" si="14"/>
        <v>270.13170682723228</v>
      </c>
      <c r="M121" s="45">
        <f t="shared" si="14"/>
        <v>229.55708629214337</v>
      </c>
      <c r="N121" s="45">
        <f t="shared" si="14"/>
        <v>193.26991091588405</v>
      </c>
      <c r="O121" s="45">
        <f t="shared" si="14"/>
        <v>160.62471374035985</v>
      </c>
      <c r="P121" s="45">
        <f t="shared" si="14"/>
        <v>131.09940171555914</v>
      </c>
      <c r="Q121" s="45">
        <f t="shared" si="14"/>
        <v>104.26712305438521</v>
      </c>
    </row>
    <row r="122" spans="1:17">
      <c r="A122" s="46">
        <f>'a（自動）計算用'!G97</f>
        <v>32.426835204152212</v>
      </c>
      <c r="B122" s="45">
        <f t="shared" si="14"/>
        <v>1316.6423585599193</v>
      </c>
      <c r="C122" s="45">
        <f t="shared" si="14"/>
        <v>1093.0226753594441</v>
      </c>
      <c r="D122" s="45">
        <f t="shared" si="14"/>
        <v>919.50161535901304</v>
      </c>
      <c r="E122" s="45">
        <f t="shared" si="14"/>
        <v>780.9393414718561</v>
      </c>
      <c r="F122" s="45">
        <f t="shared" si="14"/>
        <v>667.73810112498541</v>
      </c>
      <c r="G122" s="45">
        <f t="shared" si="14"/>
        <v>573.51892558108534</v>
      </c>
      <c r="H122" s="47">
        <f t="shared" si="14"/>
        <v>493.87666230553106</v>
      </c>
      <c r="I122" s="45">
        <f t="shared" si="14"/>
        <v>425.67135470935023</v>
      </c>
      <c r="J122" s="45">
        <f t="shared" si="14"/>
        <v>366.6044527769912</v>
      </c>
      <c r="K122" s="45">
        <f t="shared" si="14"/>
        <v>314.95467131700462</v>
      </c>
      <c r="L122" s="45">
        <f t="shared" si="14"/>
        <v>269.40747577557102</v>
      </c>
      <c r="M122" s="45">
        <f t="shared" si="14"/>
        <v>228.94163699159907</v>
      </c>
      <c r="N122" s="45">
        <f t="shared" si="14"/>
        <v>192.75174859987493</v>
      </c>
      <c r="O122" s="45">
        <f t="shared" si="14"/>
        <v>160.19407415820456</v>
      </c>
      <c r="P122" s="45">
        <f t="shared" si="14"/>
        <v>130.74792036340025</v>
      </c>
      <c r="Q122" s="45">
        <f t="shared" si="14"/>
        <v>103.98757983056191</v>
      </c>
    </row>
    <row r="123" spans="1:17">
      <c r="A123" s="46">
        <f>'a（自動）計算用'!G98</f>
        <v>32.489675237659988</v>
      </c>
      <c r="B123" s="45">
        <f t="shared" si="14"/>
        <v>1313.21276113872</v>
      </c>
      <c r="C123" s="45">
        <f t="shared" si="14"/>
        <v>1090.1755637468227</v>
      </c>
      <c r="D123" s="45">
        <f t="shared" si="14"/>
        <v>917.10649237947212</v>
      </c>
      <c r="E123" s="45">
        <f t="shared" si="14"/>
        <v>778.9051462826975</v>
      </c>
      <c r="F123" s="45">
        <f t="shared" si="14"/>
        <v>665.99877316339712</v>
      </c>
      <c r="G123" s="45">
        <f t="shared" si="14"/>
        <v>572.02502025790159</v>
      </c>
      <c r="H123" s="47">
        <f t="shared" si="14"/>
        <v>492.59020959768549</v>
      </c>
      <c r="I123" s="45">
        <f t="shared" si="14"/>
        <v>424.56256357036062</v>
      </c>
      <c r="J123" s="45">
        <f t="shared" si="14"/>
        <v>365.64951943638431</v>
      </c>
      <c r="K123" s="45">
        <f t="shared" si="14"/>
        <v>314.13427561765548</v>
      </c>
      <c r="L123" s="45">
        <f t="shared" si="14"/>
        <v>268.70572166735417</v>
      </c>
      <c r="M123" s="45">
        <f t="shared" si="14"/>
        <v>228.34528852785198</v>
      </c>
      <c r="N123" s="45">
        <f t="shared" si="14"/>
        <v>192.24966776096525</v>
      </c>
      <c r="O123" s="45">
        <f t="shared" si="14"/>
        <v>159.7767997328053</v>
      </c>
      <c r="P123" s="45">
        <f t="shared" si="14"/>
        <v>130.40734744502933</v>
      </c>
      <c r="Q123" s="45">
        <f t="shared" si="14"/>
        <v>103.71671239772789</v>
      </c>
    </row>
    <row r="124" spans="1:17">
      <c r="A124" s="46">
        <f>'a（自動）計算用'!G99</f>
        <v>32.550846505248529</v>
      </c>
      <c r="B124" s="45">
        <f t="shared" si="14"/>
        <v>1309.8891614133686</v>
      </c>
      <c r="C124" s="45">
        <f t="shared" si="14"/>
        <v>1087.4164470892053</v>
      </c>
      <c r="D124" s="45">
        <f t="shared" si="14"/>
        <v>914.78539485712759</v>
      </c>
      <c r="E124" s="45">
        <f t="shared" si="14"/>
        <v>776.93382144724956</v>
      </c>
      <c r="F124" s="45">
        <f t="shared" si="14"/>
        <v>664.31320216905897</v>
      </c>
      <c r="G124" s="45">
        <f t="shared" si="14"/>
        <v>570.57728668685809</v>
      </c>
      <c r="H124" s="47">
        <f t="shared" si="14"/>
        <v>491.34351695672308</v>
      </c>
      <c r="I124" s="45">
        <f t="shared" si="14"/>
        <v>423.48804155729908</v>
      </c>
      <c r="J124" s="45">
        <f t="shared" si="14"/>
        <v>364.72409997783461</v>
      </c>
      <c r="K124" s="45">
        <f t="shared" si="14"/>
        <v>313.3392356796785</v>
      </c>
      <c r="L124" s="45">
        <f t="shared" si="14"/>
        <v>268.02565649500576</v>
      </c>
      <c r="M124" s="45">
        <f t="shared" si="14"/>
        <v>227.76737125450907</v>
      </c>
      <c r="N124" s="45">
        <f t="shared" si="14"/>
        <v>191.76310460693745</v>
      </c>
      <c r="O124" s="45">
        <f t="shared" si="14"/>
        <v>159.37242190201957</v>
      </c>
      <c r="P124" s="45">
        <f t="shared" si="14"/>
        <v>130.07730052728826</v>
      </c>
      <c r="Q124" s="45">
        <f t="shared" si="14"/>
        <v>103.45421659579819</v>
      </c>
    </row>
    <row r="125" spans="1:17">
      <c r="A125" s="46">
        <f>'a（自動）計算用'!G100</f>
        <v>32.610393421542035</v>
      </c>
      <c r="B125" s="45">
        <f t="shared" si="14"/>
        <v>1306.6678683894797</v>
      </c>
      <c r="C125" s="45">
        <f t="shared" si="14"/>
        <v>1084.7422612739024</v>
      </c>
      <c r="D125" s="45">
        <f t="shared" si="14"/>
        <v>912.53574511758075</v>
      </c>
      <c r="E125" s="45">
        <f t="shared" si="14"/>
        <v>775.02317772808863</v>
      </c>
      <c r="F125" s="45">
        <f t="shared" si="14"/>
        <v>662.6795162459573</v>
      </c>
      <c r="G125" s="45">
        <f t="shared" si="14"/>
        <v>569.17411710019576</v>
      </c>
      <c r="H125" s="47">
        <f t="shared" si="14"/>
        <v>490.13519987911781</v>
      </c>
      <c r="I125" s="45">
        <f t="shared" si="14"/>
        <v>422.44659536921324</v>
      </c>
      <c r="J125" s="45">
        <f t="shared" si="14"/>
        <v>363.82716668491759</v>
      </c>
      <c r="K125" s="45">
        <f t="shared" si="14"/>
        <v>312.56866857847695</v>
      </c>
      <c r="L125" s="45">
        <f t="shared" si="14"/>
        <v>267.36652501814172</v>
      </c>
      <c r="M125" s="45">
        <f t="shared" si="14"/>
        <v>227.20724337063527</v>
      </c>
      <c r="N125" s="45">
        <f t="shared" si="14"/>
        <v>191.29151878936867</v>
      </c>
      <c r="O125" s="45">
        <f t="shared" si="14"/>
        <v>158.98049158761086</v>
      </c>
      <c r="P125" s="45">
        <f t="shared" si="14"/>
        <v>129.75741307948104</v>
      </c>
      <c r="Q125" s="45">
        <f t="shared" si="14"/>
        <v>103.19980091237322</v>
      </c>
    </row>
    <row r="126" spans="1:17">
      <c r="A126" s="46">
        <f>'a（自動）計算用'!G101</f>
        <v>32.668359207107322</v>
      </c>
      <c r="B126" s="45">
        <f t="shared" si="14"/>
        <v>1303.5453431416136</v>
      </c>
      <c r="C126" s="45">
        <f t="shared" si="14"/>
        <v>1082.1500684296489</v>
      </c>
      <c r="D126" s="45">
        <f t="shared" si="14"/>
        <v>910.35507168660251</v>
      </c>
      <c r="E126" s="45">
        <f t="shared" si="14"/>
        <v>773.1711160843596</v>
      </c>
      <c r="F126" s="45">
        <f t="shared" si="14"/>
        <v>661.09592062018271</v>
      </c>
      <c r="G126" s="45">
        <f t="shared" si="14"/>
        <v>567.81396997017725</v>
      </c>
      <c r="H126" s="47">
        <f t="shared" si="14"/>
        <v>488.96393090288075</v>
      </c>
      <c r="I126" s="45">
        <f t="shared" si="14"/>
        <v>421.43708086914268</v>
      </c>
      <c r="J126" s="45">
        <f t="shared" si="14"/>
        <v>362.95773418311933</v>
      </c>
      <c r="K126" s="45">
        <f t="shared" si="14"/>
        <v>311.82172776594194</v>
      </c>
      <c r="L126" s="45">
        <f t="shared" si="14"/>
        <v>266.72760311227711</v>
      </c>
      <c r="M126" s="45">
        <f t="shared" si="14"/>
        <v>226.66428951749023</v>
      </c>
      <c r="N126" s="45">
        <f t="shared" si="14"/>
        <v>190.83439222218777</v>
      </c>
      <c r="O126" s="45">
        <f t="shared" si="14"/>
        <v>158.60057821336349</v>
      </c>
      <c r="P126" s="45">
        <f t="shared" si="14"/>
        <v>129.44733367197418</v>
      </c>
      <c r="Q126" s="45">
        <f t="shared" si="14"/>
        <v>102.95318584536248</v>
      </c>
    </row>
    <row r="127" spans="1:17">
      <c r="A127" s="46">
        <f>'a（自動）計算用'!G102</f>
        <v>32.724785921619691</v>
      </c>
      <c r="B127" s="45">
        <f t="shared" si="14"/>
        <v>1300.5181912285489</v>
      </c>
      <c r="C127" s="45">
        <f t="shared" si="14"/>
        <v>1079.6370506300725</v>
      </c>
      <c r="D127" s="45">
        <f t="shared" si="14"/>
        <v>908.24100399319741</v>
      </c>
      <c r="E127" s="45">
        <f t="shared" si="14"/>
        <v>771.37562317305014</v>
      </c>
      <c r="F127" s="45">
        <f t="shared" si="14"/>
        <v>659.56069379331871</v>
      </c>
      <c r="G127" s="45">
        <f t="shared" si="14"/>
        <v>566.49536670524014</v>
      </c>
      <c r="H127" s="47">
        <f t="shared" si="14"/>
        <v>487.82843676250428</v>
      </c>
      <c r="I127" s="45">
        <f t="shared" si="14"/>
        <v>420.45840063197136</v>
      </c>
      <c r="J127" s="45">
        <f t="shared" si="14"/>
        <v>362.1148573279529</v>
      </c>
      <c r="K127" s="45">
        <f t="shared" si="14"/>
        <v>311.0976012561062</v>
      </c>
      <c r="L127" s="45">
        <f t="shared" si="14"/>
        <v>266.10819621686176</v>
      </c>
      <c r="M127" s="45">
        <f t="shared" si="14"/>
        <v>226.13791945967341</v>
      </c>
      <c r="N127" s="45">
        <f t="shared" si="14"/>
        <v>190.39122797129818</v>
      </c>
      <c r="O127" s="45">
        <f t="shared" si="14"/>
        <v>158.23226878225873</v>
      </c>
      <c r="P127" s="45">
        <f t="shared" si="14"/>
        <v>129.14672522300233</v>
      </c>
      <c r="Q127" s="45">
        <f t="shared" si="14"/>
        <v>102.71410330394755</v>
      </c>
    </row>
    <row r="128" spans="1:17">
      <c r="A128" s="46">
        <f>'a（自動）計算用'!G103</f>
        <v>32.779714496027857</v>
      </c>
      <c r="B128" s="45">
        <f t="shared" si="14"/>
        <v>1297.5831555602526</v>
      </c>
      <c r="C128" s="45">
        <f t="shared" si="14"/>
        <v>1077.2005039721437</v>
      </c>
      <c r="D128" s="45">
        <f t="shared" si="14"/>
        <v>906.19126738812076</v>
      </c>
      <c r="E128" s="45">
        <f t="shared" si="14"/>
        <v>769.63476711818146</v>
      </c>
      <c r="F128" s="45">
        <f t="shared" si="14"/>
        <v>658.07218392490938</v>
      </c>
      <c r="G128" s="45">
        <f t="shared" si="14"/>
        <v>565.21688854290574</v>
      </c>
      <c r="H128" s="47">
        <f t="shared" si="14"/>
        <v>486.72749571334094</v>
      </c>
      <c r="I128" s="45">
        <f t="shared" si="14"/>
        <v>419.50950163831413</v>
      </c>
      <c r="J128" s="45">
        <f t="shared" si="14"/>
        <v>361.29762921884543</v>
      </c>
      <c r="K128" s="45">
        <f t="shared" si="14"/>
        <v>310.39550991884812</v>
      </c>
      <c r="L128" s="45">
        <f t="shared" si="14"/>
        <v>265.50763787574033</v>
      </c>
      <c r="M128" s="45">
        <f t="shared" si="14"/>
        <v>225.62756684481189</v>
      </c>
      <c r="N128" s="45">
        <f t="shared" si="14"/>
        <v>189.96154921032783</v>
      </c>
      <c r="O128" s="45">
        <f t="shared" si="14"/>
        <v>157.87516700860905</v>
      </c>
      <c r="P128" s="45">
        <f t="shared" si="14"/>
        <v>128.85526429032973</v>
      </c>
      <c r="Q128" s="45">
        <f t="shared" si="14"/>
        <v>102.48229604521988</v>
      </c>
    </row>
    <row r="129" spans="1:17">
      <c r="A129" s="46">
        <f>'a（自動）計算用'!G104</f>
        <v>32.833184763753202</v>
      </c>
      <c r="B129" s="45">
        <f t="shared" si="14"/>
        <v>1294.7371096853849</v>
      </c>
      <c r="C129" s="45">
        <f t="shared" si="14"/>
        <v>1074.8378330037374</v>
      </c>
      <c r="D129" s="45">
        <f t="shared" si="14"/>
        <v>904.20367845608234</v>
      </c>
      <c r="E129" s="45">
        <f t="shared" si="14"/>
        <v>767.9466935294289</v>
      </c>
      <c r="F129" s="45">
        <f t="shared" si="14"/>
        <v>656.62880542820255</v>
      </c>
      <c r="G129" s="45">
        <f t="shared" si="14"/>
        <v>563.97717362586945</v>
      </c>
      <c r="H129" s="47">
        <f t="shared" si="14"/>
        <v>485.65993501372515</v>
      </c>
      <c r="I129" s="45">
        <f t="shared" si="14"/>
        <v>418.58937310436289</v>
      </c>
      <c r="J129" s="45">
        <f t="shared" si="14"/>
        <v>360.50517933011844</v>
      </c>
      <c r="K129" s="45">
        <f t="shared" si="14"/>
        <v>309.71470587419287</v>
      </c>
      <c r="L129" s="45">
        <f t="shared" si="14"/>
        <v>264.92528836366159</v>
      </c>
      <c r="M129" s="45">
        <f t="shared" si="14"/>
        <v>225.1326880363722</v>
      </c>
      <c r="N129" s="45">
        <f t="shared" si="14"/>
        <v>189.54489823794367</v>
      </c>
      <c r="O129" s="45">
        <f t="shared" si="14"/>
        <v>157.528892501358</v>
      </c>
      <c r="P129" s="45">
        <f t="shared" si="14"/>
        <v>128.572640404672</v>
      </c>
      <c r="Q129" s="45">
        <f t="shared" si="14"/>
        <v>102.25751714403222</v>
      </c>
    </row>
    <row r="130" spans="1:17">
      <c r="A130" s="46">
        <f>'a（自動）計算用'!G105</f>
        <v>32.885235490956617</v>
      </c>
      <c r="B130" s="45">
        <f t="shared" si="14"/>
        <v>1291.9770514706324</v>
      </c>
      <c r="C130" s="45">
        <f t="shared" si="14"/>
        <v>1072.5465454764728</v>
      </c>
      <c r="D130" s="45">
        <f t="shared" si="14"/>
        <v>902.27614060159192</v>
      </c>
      <c r="E130" s="45">
        <f t="shared" si="14"/>
        <v>766.30962175314926</v>
      </c>
      <c r="F130" s="45">
        <f t="shared" si="14"/>
        <v>655.22903576460988</v>
      </c>
      <c r="G130" s="45">
        <f t="shared" si="14"/>
        <v>562.77491424876916</v>
      </c>
      <c r="H130" s="47">
        <f t="shared" si="14"/>
        <v>484.62462855407136</v>
      </c>
      <c r="I130" s="45">
        <f t="shared" si="14"/>
        <v>417.69704443841039</v>
      </c>
      <c r="J130" s="45">
        <f t="shared" si="14"/>
        <v>359.73667175106817</v>
      </c>
      <c r="K130" s="45">
        <f t="shared" si="14"/>
        <v>309.05447098034216</v>
      </c>
      <c r="L130" s="45">
        <f t="shared" si="14"/>
        <v>264.36053339296222</v>
      </c>
      <c r="M130" s="45">
        <f t="shared" si="14"/>
        <v>224.65276101460398</v>
      </c>
      <c r="N130" s="45">
        <f t="shared" si="14"/>
        <v>189.14083555252856</v>
      </c>
      <c r="O130" s="45">
        <f t="shared" si="14"/>
        <v>157.19307999505324</v>
      </c>
      <c r="P130" s="45">
        <f t="shared" si="14"/>
        <v>128.29855544202846</v>
      </c>
      <c r="Q130" s="45">
        <f t="shared" si="14"/>
        <v>102.03952949379629</v>
      </c>
    </row>
    <row r="131" spans="1:17">
      <c r="A131" s="46">
        <f>'a（自動）計算用'!G106</f>
        <v>32.935904405905355</v>
      </c>
      <c r="B131" s="45">
        <f t="shared" si="14"/>
        <v>1289.300097145366</v>
      </c>
      <c r="C131" s="45">
        <f t="shared" si="14"/>
        <v>1070.3242474018323</v>
      </c>
      <c r="D131" s="45">
        <f t="shared" si="14"/>
        <v>900.40663988993538</v>
      </c>
      <c r="E131" s="45">
        <f t="shared" si="14"/>
        <v>764.72184134009115</v>
      </c>
      <c r="F131" s="45">
        <f t="shared" si="14"/>
        <v>653.8714124234416</v>
      </c>
      <c r="G131" s="45">
        <f t="shared" si="14"/>
        <v>561.60885426408527</v>
      </c>
      <c r="H131" s="47">
        <f t="shared" si="14"/>
        <v>483.62049462300666</v>
      </c>
      <c r="I131" s="45">
        <f t="shared" si="14"/>
        <v>416.83158331548429</v>
      </c>
      <c r="J131" s="45">
        <f t="shared" si="14"/>
        <v>358.9913035277666</v>
      </c>
      <c r="K131" s="45">
        <f t="shared" si="14"/>
        <v>308.41411540909411</v>
      </c>
      <c r="L131" s="45">
        <f t="shared" si="14"/>
        <v>263.8127828950021</v>
      </c>
      <c r="M131" s="45">
        <f t="shared" si="14"/>
        <v>224.1872843410078</v>
      </c>
      <c r="N131" s="45">
        <f t="shared" si="14"/>
        <v>188.74893898034057</v>
      </c>
      <c r="O131" s="45">
        <f t="shared" si="14"/>
        <v>156.86737862526826</v>
      </c>
      <c r="P131" s="45">
        <f t="shared" si="14"/>
        <v>128.03272303229249</v>
      </c>
      <c r="Q131" s="45">
        <f t="shared" si="14"/>
        <v>101.82810533613369</v>
      </c>
    </row>
    <row r="132" spans="1:17">
      <c r="A132" s="46">
        <f>'a（自動）計算用'!G107</f>
        <v>32.985228227470728</v>
      </c>
      <c r="B132" s="45">
        <f t="shared" si="14"/>
        <v>1286.7034756871403</v>
      </c>
      <c r="C132" s="45">
        <f t="shared" si="14"/>
        <v>1068.1686383902327</v>
      </c>
      <c r="D132" s="45">
        <f t="shared" si="14"/>
        <v>898.59324112618481</v>
      </c>
      <c r="E132" s="45">
        <f t="shared" si="14"/>
        <v>763.18170871527104</v>
      </c>
      <c r="F132" s="45">
        <f t="shared" si="14"/>
        <v>652.55453007450035</v>
      </c>
      <c r="G132" s="45">
        <f t="shared" si="14"/>
        <v>560.47778663650934</v>
      </c>
      <c r="H132" s="47">
        <f t="shared" si="14"/>
        <v>482.64649380135455</v>
      </c>
      <c r="I132" s="45">
        <f t="shared" si="14"/>
        <v>415.99209386217586</v>
      </c>
      <c r="J132" s="45">
        <f t="shared" si="14"/>
        <v>358.26830309976663</v>
      </c>
      <c r="K132" s="45">
        <f t="shared" si="14"/>
        <v>307.79297630279603</v>
      </c>
      <c r="L132" s="45">
        <f t="shared" si="14"/>
        <v>263.28146987134215</v>
      </c>
      <c r="M132" s="45">
        <f t="shared" si="14"/>
        <v>223.73577618206946</v>
      </c>
      <c r="N132" s="45">
        <f t="shared" si="14"/>
        <v>188.36880285357009</v>
      </c>
      <c r="O132" s="45">
        <f t="shared" si="14"/>
        <v>156.55145124549392</v>
      </c>
      <c r="P132" s="45">
        <f t="shared" si="14"/>
        <v>127.77486800170902</v>
      </c>
      <c r="Q132" s="45">
        <f t="shared" ref="Q132" si="15">Q$25*$A132^Q$24</f>
        <v>101.62302581744625</v>
      </c>
    </row>
    <row r="133" spans="1:17">
      <c r="A133" s="46">
        <f>'a（自動）計算用'!G108</f>
        <v>33.033242692786509</v>
      </c>
      <c r="B133" s="45">
        <f t="shared" ref="B133:Q140" si="16">B$25*$A133^B$24</f>
        <v>1284.1845235253959</v>
      </c>
      <c r="C133" s="45">
        <f t="shared" si="16"/>
        <v>1066.0775072542544</v>
      </c>
      <c r="D133" s="45">
        <f t="shared" si="16"/>
        <v>896.83408415642918</v>
      </c>
      <c r="E133" s="45">
        <f t="shared" si="16"/>
        <v>761.68764403658065</v>
      </c>
      <c r="F133" s="45">
        <f t="shared" si="16"/>
        <v>651.27703788205133</v>
      </c>
      <c r="G133" s="45">
        <f t="shared" si="16"/>
        <v>559.38055113591827</v>
      </c>
      <c r="H133" s="47">
        <f t="shared" si="16"/>
        <v>481.70162697547602</v>
      </c>
      <c r="I133" s="45">
        <f t="shared" si="16"/>
        <v>415.17771494434231</v>
      </c>
      <c r="J133" s="45">
        <f t="shared" si="16"/>
        <v>357.56692882540568</v>
      </c>
      <c r="K133" s="45">
        <f t="shared" si="16"/>
        <v>307.19041650741377</v>
      </c>
      <c r="L133" s="45">
        <f t="shared" si="16"/>
        <v>262.76604931003101</v>
      </c>
      <c r="M133" s="45">
        <f t="shared" si="16"/>
        <v>223.29777338832363</v>
      </c>
      <c r="N133" s="45">
        <f t="shared" si="16"/>
        <v>188.00003723498043</v>
      </c>
      <c r="O133" s="45">
        <f t="shared" si="16"/>
        <v>156.24497378274478</v>
      </c>
      <c r="P133" s="45">
        <f t="shared" si="16"/>
        <v>127.52472584693039</v>
      </c>
      <c r="Q133" s="45">
        <f t="shared" si="16"/>
        <v>101.42408057061758</v>
      </c>
    </row>
    <row r="134" spans="1:17">
      <c r="A134" s="46">
        <f>'a（自動）計算用'!G109</f>
        <v>33.079982584096534</v>
      </c>
      <c r="B134" s="45">
        <f t="shared" si="16"/>
        <v>1281.7406795424117</v>
      </c>
      <c r="C134" s="45">
        <f t="shared" si="16"/>
        <v>1064.0487278586379</v>
      </c>
      <c r="D134" s="45">
        <f t="shared" si="16"/>
        <v>895.12738037659858</v>
      </c>
      <c r="E134" s="45">
        <f t="shared" si="16"/>
        <v>760.2381282297074</v>
      </c>
      <c r="F134" s="45">
        <f t="shared" si="16"/>
        <v>650.03763696954513</v>
      </c>
      <c r="G134" s="45">
        <f t="shared" si="16"/>
        <v>558.31603215982989</v>
      </c>
      <c r="H134" s="47">
        <f t="shared" si="16"/>
        <v>480.78493346211241</v>
      </c>
      <c r="I134" s="45">
        <f t="shared" si="16"/>
        <v>414.38761855091246</v>
      </c>
      <c r="J134" s="45">
        <f t="shared" si="16"/>
        <v>356.88646758987767</v>
      </c>
      <c r="K134" s="45">
        <f t="shared" si="16"/>
        <v>306.60582337670769</v>
      </c>
      <c r="L134" s="45">
        <f t="shared" si="16"/>
        <v>262.265997162715</v>
      </c>
      <c r="M134" s="45">
        <f t="shared" si="16"/>
        <v>222.87283062510551</v>
      </c>
      <c r="N134" s="45">
        <f t="shared" si="16"/>
        <v>187.64226718606548</v>
      </c>
      <c r="O134" s="45">
        <f t="shared" si="16"/>
        <v>155.9476346293323</v>
      </c>
      <c r="P134" s="45">
        <f t="shared" si="16"/>
        <v>127.28204223859103</v>
      </c>
      <c r="Q134" s="45">
        <f t="shared" si="16"/>
        <v>101.23106732019173</v>
      </c>
    </row>
    <row r="135" spans="1:17">
      <c r="A135" s="46">
        <f>'a（自動）計算用'!G110</f>
        <v>33.1254817548188</v>
      </c>
      <c r="B135" s="45">
        <f t="shared" si="16"/>
        <v>1279.3694803521591</v>
      </c>
      <c r="C135" s="45">
        <f t="shared" si="16"/>
        <v>1062.0802552009798</v>
      </c>
      <c r="D135" s="45">
        <f t="shared" si="16"/>
        <v>893.47140943536294</v>
      </c>
      <c r="E135" s="45">
        <f t="shared" si="16"/>
        <v>758.83170018788155</v>
      </c>
      <c r="F135" s="45">
        <f t="shared" si="16"/>
        <v>648.8350780252772</v>
      </c>
      <c r="G135" s="45">
        <f t="shared" si="16"/>
        <v>557.28315667690856</v>
      </c>
      <c r="H135" s="47">
        <f t="shared" si="16"/>
        <v>479.89548923746793</v>
      </c>
      <c r="I135" s="45">
        <f t="shared" si="16"/>
        <v>413.62100826753647</v>
      </c>
      <c r="J135" s="45">
        <f t="shared" si="16"/>
        <v>356.22623349068118</v>
      </c>
      <c r="K135" s="45">
        <f t="shared" si="16"/>
        <v>306.03860764288459</v>
      </c>
      <c r="L135" s="45">
        <f t="shared" si="16"/>
        <v>261.78080937861114</v>
      </c>
      <c r="M135" s="45">
        <f t="shared" si="16"/>
        <v>222.46051955162363</v>
      </c>
      <c r="N135" s="45">
        <f t="shared" si="16"/>
        <v>187.29513207589048</v>
      </c>
      <c r="O135" s="45">
        <f t="shared" si="16"/>
        <v>155.65913406844905</v>
      </c>
      <c r="P135" s="45">
        <f t="shared" si="16"/>
        <v>127.04657255247825</v>
      </c>
      <c r="Q135" s="45">
        <f t="shared" si="16"/>
        <v>101.04379150949988</v>
      </c>
    </row>
    <row r="136" spans="1:17">
      <c r="A136" s="46">
        <f>'a（自動）計算用'!G111</f>
        <v>33.169773154852507</v>
      </c>
      <c r="B136" s="45">
        <f t="shared" si="16"/>
        <v>1277.0685558390624</v>
      </c>
      <c r="C136" s="45">
        <f t="shared" si="16"/>
        <v>1060.1701217081943</v>
      </c>
      <c r="D136" s="45">
        <f t="shared" si="16"/>
        <v>891.86451611854318</v>
      </c>
      <c r="E136" s="45">
        <f t="shared" si="16"/>
        <v>757.46695412578492</v>
      </c>
      <c r="F136" s="45">
        <f t="shared" si="16"/>
        <v>647.6681590398606</v>
      </c>
      <c r="G136" s="45">
        <f t="shared" si="16"/>
        <v>556.28089228368492</v>
      </c>
      <c r="H136" s="47">
        <f t="shared" si="16"/>
        <v>479.03240526378488</v>
      </c>
      <c r="I136" s="45">
        <f t="shared" si="16"/>
        <v>412.87711783426408</v>
      </c>
      <c r="J136" s="45">
        <f t="shared" si="16"/>
        <v>355.5855665954374</v>
      </c>
      <c r="K136" s="45">
        <f t="shared" si="16"/>
        <v>305.48820234942258</v>
      </c>
      <c r="L136" s="45">
        <f t="shared" si="16"/>
        <v>261.31000099166118</v>
      </c>
      <c r="M136" s="45">
        <f t="shared" si="16"/>
        <v>222.06042804522653</v>
      </c>
      <c r="N136" s="45">
        <f t="shared" si="16"/>
        <v>186.9582849279825</v>
      </c>
      <c r="O136" s="45">
        <f t="shared" si="16"/>
        <v>155.379183731376</v>
      </c>
      <c r="P136" s="45">
        <f t="shared" si="16"/>
        <v>126.81808142651323</v>
      </c>
      <c r="Q136" s="45">
        <f t="shared" si="16"/>
        <v>100.86206594831449</v>
      </c>
    </row>
    <row r="137" spans="1:17">
      <c r="A137" s="46">
        <f>'a（自動）計算用'!G112</f>
        <v>33.212888855153139</v>
      </c>
      <c r="B137" s="45">
        <f t="shared" si="16"/>
        <v>1274.8356249400449</v>
      </c>
      <c r="C137" s="45">
        <f t="shared" si="16"/>
        <v>1058.3164337349422</v>
      </c>
      <c r="D137" s="45">
        <f t="shared" si="16"/>
        <v>890.30510740342538</v>
      </c>
      <c r="E137" s="45">
        <f t="shared" si="16"/>
        <v>756.14253707775822</v>
      </c>
      <c r="F137" s="45">
        <f t="shared" si="16"/>
        <v>646.53572316708187</v>
      </c>
      <c r="G137" s="45">
        <f t="shared" si="16"/>
        <v>555.3082453672497</v>
      </c>
      <c r="H137" s="47">
        <f t="shared" si="16"/>
        <v>478.19482590717678</v>
      </c>
      <c r="I137" s="45">
        <f t="shared" si="16"/>
        <v>412.15520978187789</v>
      </c>
      <c r="J137" s="45">
        <f t="shared" si="16"/>
        <v>354.96383176744774</v>
      </c>
      <c r="K137" s="45">
        <f t="shared" si="16"/>
        <v>304.95406184209241</v>
      </c>
      <c r="L137" s="45">
        <f t="shared" si="16"/>
        <v>260.85310525746689</v>
      </c>
      <c r="M137" s="45">
        <f t="shared" si="16"/>
        <v>221.6721594679727</v>
      </c>
      <c r="N137" s="45">
        <f t="shared" si="16"/>
        <v>186.63139180283724</v>
      </c>
      <c r="O137" s="45">
        <f t="shared" si="16"/>
        <v>155.10750608429001</v>
      </c>
      <c r="P137" s="45">
        <f t="shared" si="16"/>
        <v>126.59634234189117</v>
      </c>
      <c r="Q137" s="45">
        <f t="shared" si="16"/>
        <v>100.68571047971808</v>
      </c>
    </row>
    <row r="138" spans="1:17">
      <c r="A138" s="46">
        <f>'a（自動）計算用'!G113</f>
        <v>33.254860071599857</v>
      </c>
      <c r="B138" s="45">
        <f t="shared" si="16"/>
        <v>1272.6684916544175</v>
      </c>
      <c r="C138" s="45">
        <f t="shared" si="16"/>
        <v>1056.5173682512009</v>
      </c>
      <c r="D138" s="45">
        <f t="shared" si="16"/>
        <v>888.7916496721914</v>
      </c>
      <c r="E138" s="45">
        <f t="shared" si="16"/>
        <v>754.85714653114792</v>
      </c>
      <c r="F138" s="45">
        <f t="shared" si="16"/>
        <v>645.43665670030623</v>
      </c>
      <c r="G138" s="45">
        <f t="shared" si="16"/>
        <v>554.36425936719161</v>
      </c>
      <c r="H138" s="47">
        <f t="shared" si="16"/>
        <v>477.38192744092396</v>
      </c>
      <c r="I138" s="45">
        <f t="shared" si="16"/>
        <v>411.45457414188706</v>
      </c>
      <c r="J138" s="45">
        <f t="shared" si="16"/>
        <v>354.36041755469131</v>
      </c>
      <c r="K138" s="45">
        <f t="shared" si="16"/>
        <v>304.43566081448046</v>
      </c>
      <c r="L138" s="45">
        <f t="shared" si="16"/>
        <v>260.40967283684455</v>
      </c>
      <c r="M138" s="45">
        <f t="shared" si="16"/>
        <v>221.29533197281816</v>
      </c>
      <c r="N138" s="45">
        <f t="shared" si="16"/>
        <v>186.31413121378057</v>
      </c>
      <c r="O138" s="45">
        <f t="shared" si="16"/>
        <v>154.84383394279197</v>
      </c>
      <c r="P138" s="45">
        <f t="shared" si="16"/>
        <v>126.38113722684689</v>
      </c>
      <c r="Q138" s="45">
        <f t="shared" si="16"/>
        <v>100.51455166496666</v>
      </c>
    </row>
    <row r="139" spans="1:17">
      <c r="A139" s="46">
        <f>'a（自動）計算用'!G114</f>
        <v>33.295717188178457</v>
      </c>
      <c r="B139" s="45">
        <f t="shared" si="16"/>
        <v>1270.5650412672683</v>
      </c>
      <c r="C139" s="45">
        <f t="shared" si="16"/>
        <v>1054.7711697070781</v>
      </c>
      <c r="D139" s="45">
        <f t="shared" si="16"/>
        <v>887.32266607445365</v>
      </c>
      <c r="E139" s="45">
        <f t="shared" si="16"/>
        <v>753.609528186288</v>
      </c>
      <c r="F139" s="45">
        <f t="shared" si="16"/>
        <v>644.36988715716177</v>
      </c>
      <c r="G139" s="45">
        <f t="shared" si="16"/>
        <v>553.44801313053676</v>
      </c>
      <c r="H139" s="47">
        <f t="shared" si="16"/>
        <v>476.5929166288559</v>
      </c>
      <c r="I139" s="45">
        <f t="shared" si="16"/>
        <v>410.77452722554671</v>
      </c>
      <c r="J139" s="45">
        <f t="shared" si="16"/>
        <v>353.7747351382697</v>
      </c>
      <c r="K139" s="45">
        <f t="shared" si="16"/>
        <v>303.93249340458425</v>
      </c>
      <c r="L139" s="45">
        <f t="shared" si="16"/>
        <v>259.97927102306664</v>
      </c>
      <c r="M139" s="45">
        <f t="shared" si="16"/>
        <v>220.92957784692837</v>
      </c>
      <c r="N139" s="45">
        <f t="shared" si="16"/>
        <v>186.00619357408655</v>
      </c>
      <c r="O139" s="45">
        <f t="shared" si="16"/>
        <v>154.58791001241224</v>
      </c>
      <c r="P139" s="45">
        <f t="shared" si="16"/>
        <v>126.17225608162218</v>
      </c>
      <c r="Q139" s="45">
        <f t="shared" si="16"/>
        <v>100.34842248521541</v>
      </c>
    </row>
    <row r="140" spans="1:17">
      <c r="A140" s="46">
        <f>'a（自動）計算用'!G115</f>
        <v>33.335489779502211</v>
      </c>
      <c r="B140" s="45">
        <f t="shared" si="16"/>
        <v>1268.5232367730569</v>
      </c>
      <c r="C140" s="45">
        <f t="shared" si="16"/>
        <v>1053.0761470638261</v>
      </c>
      <c r="D140" s="45">
        <f t="shared" si="16"/>
        <v>885.8967340296058</v>
      </c>
      <c r="E140" s="45">
        <f t="shared" si="16"/>
        <v>752.39847383522806</v>
      </c>
      <c r="F140" s="45">
        <f t="shared" si="16"/>
        <v>643.33438146575713</v>
      </c>
      <c r="G140" s="45">
        <f t="shared" si="16"/>
        <v>552.55861935389453</v>
      </c>
      <c r="H140" s="47">
        <f t="shared" si="16"/>
        <v>475.82702938383022</v>
      </c>
      <c r="I140" s="45">
        <f t="shared" si="16"/>
        <v>410.11441046760399</v>
      </c>
      <c r="J140" s="45">
        <f t="shared" si="16"/>
        <v>353.20621733659675</v>
      </c>
      <c r="K140" s="45">
        <f t="shared" si="16"/>
        <v>303.44407233929866</v>
      </c>
      <c r="L140" s="45">
        <f t="shared" si="16"/>
        <v>259.56148301006795</v>
      </c>
      <c r="M140" s="45">
        <f t="shared" si="16"/>
        <v>220.57454288980239</v>
      </c>
      <c r="N140" s="45">
        <f t="shared" si="16"/>
        <v>185.70728067340426</v>
      </c>
      <c r="O140" s="45">
        <f t="shared" si="16"/>
        <v>154.33948645347402</v>
      </c>
      <c r="P140" s="45">
        <f t="shared" si="16"/>
        <v>125.96949662331433</v>
      </c>
      <c r="Q140" s="45">
        <f t="shared" si="16"/>
        <v>100.18716205905653</v>
      </c>
    </row>
    <row r="141" spans="1:17">
      <c r="A141" s="46"/>
      <c r="B141" s="45"/>
      <c r="C141" s="45"/>
      <c r="D141" s="45"/>
      <c r="E141" s="45"/>
      <c r="F141" s="45"/>
      <c r="G141" s="45"/>
      <c r="H141" s="47"/>
      <c r="I141" s="45"/>
      <c r="J141" s="45"/>
      <c r="K141" s="45"/>
      <c r="L141" s="45"/>
      <c r="M141" s="45"/>
      <c r="N141" s="45"/>
      <c r="O141" s="45"/>
      <c r="P141" s="45"/>
      <c r="Q141" s="45"/>
    </row>
    <row r="142" spans="1:17">
      <c r="A142" s="46"/>
      <c r="B142" s="45"/>
      <c r="C142" s="45"/>
      <c r="D142" s="45"/>
      <c r="E142" s="45"/>
      <c r="F142" s="45"/>
      <c r="G142" s="45"/>
      <c r="H142" s="47"/>
      <c r="I142" s="45"/>
      <c r="J142" s="45"/>
      <c r="K142" s="45"/>
      <c r="L142" s="45"/>
      <c r="M142" s="45"/>
      <c r="N142" s="45"/>
      <c r="O142" s="45"/>
      <c r="P142" s="45"/>
      <c r="Q142" s="45"/>
    </row>
  </sheetData>
  <phoneticPr fontId="1"/>
  <pageMargins left="0.7" right="0.7" top="0.75" bottom="0.75" header="0.3" footer="0.3"/>
  <pageSetup paperSize="9" orientation="portrait" copies="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D228"/>
  <sheetViews>
    <sheetView zoomScale="70" zoomScaleNormal="70" workbookViewId="0">
      <pane xSplit="1" ySplit="1" topLeftCell="B2" activePane="bottomRight" state="frozen"/>
      <selection activeCell="Q38" sqref="Q38"/>
      <selection pane="topRight" activeCell="Q38" sqref="Q38"/>
      <selection pane="bottomLeft" activeCell="Q38" sqref="Q38"/>
      <selection pane="bottomRight" activeCell="Q38" sqref="Q38"/>
    </sheetView>
  </sheetViews>
  <sheetFormatPr defaultRowHeight="18.75"/>
  <cols>
    <col min="1" max="1" width="7.125" style="18" bestFit="1" customWidth="1"/>
    <col min="2" max="3" width="12.25" style="32" customWidth="1"/>
    <col min="4" max="11" width="10.625" style="32" customWidth="1"/>
    <col min="12" max="14" width="9.75" style="33" customWidth="1"/>
    <col min="15" max="19" width="10.625" style="32" customWidth="1"/>
    <col min="20" max="23" width="9.75" style="33" customWidth="1"/>
    <col min="24" max="25" width="9.75" style="168" customWidth="1"/>
    <col min="26" max="26" width="10.625" style="28" customWidth="1"/>
    <col min="27" max="27" width="11.625" style="145" bestFit="1" customWidth="1"/>
    <col min="28" max="28" width="16.125" style="145" bestFit="1" customWidth="1"/>
    <col min="29" max="29" width="10.625" style="28" customWidth="1"/>
    <col min="30" max="30" width="9" style="31"/>
    <col min="31" max="16384" width="9" style="29"/>
  </cols>
  <sheetData>
    <row r="1" spans="1:30" s="25" customFormat="1" ht="41.25" customHeight="1" thickBot="1">
      <c r="A1" s="21" t="s">
        <v>5</v>
      </c>
      <c r="B1" s="22" t="s">
        <v>45</v>
      </c>
      <c r="C1" s="22" t="s">
        <v>46</v>
      </c>
      <c r="D1" s="22" t="s">
        <v>46</v>
      </c>
      <c r="E1" s="22" t="s">
        <v>151</v>
      </c>
      <c r="F1" s="22" t="s">
        <v>58</v>
      </c>
      <c r="G1" s="22" t="s">
        <v>59</v>
      </c>
      <c r="H1" s="22" t="s">
        <v>60</v>
      </c>
      <c r="I1" s="22" t="s">
        <v>57</v>
      </c>
      <c r="J1" s="164" t="s">
        <v>180</v>
      </c>
      <c r="K1" s="22" t="s">
        <v>179</v>
      </c>
      <c r="L1" s="164" t="s">
        <v>152</v>
      </c>
      <c r="M1" s="23" t="s">
        <v>113</v>
      </c>
      <c r="N1" s="23" t="s">
        <v>114</v>
      </c>
      <c r="O1" s="22" t="s">
        <v>153</v>
      </c>
      <c r="P1" s="22" t="s">
        <v>154</v>
      </c>
      <c r="Q1" s="22" t="s">
        <v>155</v>
      </c>
      <c r="R1" s="22" t="s">
        <v>156</v>
      </c>
      <c r="S1" s="22" t="s">
        <v>157</v>
      </c>
      <c r="T1" s="23" t="s">
        <v>115</v>
      </c>
      <c r="U1" s="23" t="s">
        <v>112</v>
      </c>
      <c r="V1" s="23" t="s">
        <v>158</v>
      </c>
      <c r="W1" s="164" t="s">
        <v>159</v>
      </c>
      <c r="X1" s="164" t="s">
        <v>32</v>
      </c>
      <c r="Y1" s="164" t="s">
        <v>160</v>
      </c>
      <c r="Z1" s="24"/>
      <c r="AA1" s="132"/>
      <c r="AB1" s="133" t="s">
        <v>47</v>
      </c>
      <c r="AC1" s="24"/>
      <c r="AD1" s="34"/>
    </row>
    <row r="2" spans="1:30" ht="17.25" customHeight="1">
      <c r="A2" s="14">
        <f>'b（手動）計算用'!E5</f>
        <v>10</v>
      </c>
      <c r="B2" s="156">
        <f>'b（手動）計算用'!F5</f>
        <v>2400</v>
      </c>
      <c r="C2" s="26">
        <f xml:space="preserve"> '樹高計算 '!N121</f>
        <v>7.005377668918638</v>
      </c>
      <c r="D2" s="26">
        <f>'b（手動）計算用'!G5</f>
        <v>7.005377668918638</v>
      </c>
      <c r="E2" s="26">
        <f>SQRT(B2)</f>
        <v>48.989794855663561</v>
      </c>
      <c r="F2" s="26">
        <f t="shared" ref="F2:F33" si="0">$AB$11+$AB$12*D2+$AB$13*E2*D2/100</f>
        <v>4.2762939400557727</v>
      </c>
      <c r="G2" s="26">
        <f t="shared" ref="G2:G33" si="1">L2/F2</f>
        <v>23.917909433140004</v>
      </c>
      <c r="H2" s="26">
        <f>200*SQRT(G2/(PI()*B2))</f>
        <v>11.264477373153335</v>
      </c>
      <c r="I2" s="26">
        <f t="shared" ref="I2:I33" si="2">$AB$15+$AB$16*H2+$AB$17*E2*D2/100</f>
        <v>11.138932082557449</v>
      </c>
      <c r="J2" s="27">
        <f>($AB$2*C2^$AB$3*$AB$29+$AB$4*C2^$AB$5)^-1</f>
        <v>4.191729015254831E-2</v>
      </c>
      <c r="K2" s="155">
        <f t="shared" ref="K2:K33" si="3">1/(1/$AB$29-J2/($AB$26*$AB$29^$AB$27))</f>
        <v>2414.4097777372367</v>
      </c>
      <c r="L2" s="27">
        <f t="shared" ref="L2:L33" si="4">($AB$2*D2^$AB$3+$AB$4*D2^$AB$5/B2)^-1</f>
        <v>102.2800111677394</v>
      </c>
      <c r="M2" s="155">
        <f>'b（手動）計算用'!L5</f>
        <v>0</v>
      </c>
      <c r="N2" s="155">
        <f t="shared" ref="N2:N33" si="5">B2-M2</f>
        <v>2400</v>
      </c>
      <c r="O2" s="26">
        <f>SQRT(N2)</f>
        <v>48.989794855663561</v>
      </c>
      <c r="P2" s="26">
        <f t="shared" ref="P2:P33" si="6">$AB$11+$AB$12*D2+$AB$13*O2*D2/100</f>
        <v>4.2762939400557727</v>
      </c>
      <c r="Q2" s="26">
        <f>T2/P2</f>
        <v>23.917909433140004</v>
      </c>
      <c r="R2" s="26">
        <f>200*SQRT(Q2/(PI()*N2))</f>
        <v>11.264477373153335</v>
      </c>
      <c r="S2" s="26">
        <f t="shared" ref="S2:S33" si="7">$AB$15+$AB$16*R2+$AB$17*O2*D2/100</f>
        <v>11.138932082557449</v>
      </c>
      <c r="T2" s="27">
        <f t="shared" ref="T2:T33" si="8">($AB$2*D2^$AB$3+$AB$4*D2^$AB$5/N2)^-1</f>
        <v>102.2800111677394</v>
      </c>
      <c r="U2" s="27">
        <f t="shared" ref="U2:U33" si="9">L2-T2</f>
        <v>0</v>
      </c>
      <c r="V2" s="27">
        <f t="shared" ref="V2:V33" si="10">$AB$22*D2^$AB$21</f>
        <v>10375.025490969329</v>
      </c>
      <c r="W2" s="27">
        <f t="shared" ref="W2:W33" si="11">($AB$2*D2^$AB$3+$AB$4*D2^$AB$5/V2)^-1</f>
        <v>189.71336704352868</v>
      </c>
      <c r="X2" s="15">
        <f t="shared" ref="X2:X33" si="12">L2/W2</f>
        <v>0.53912917556448103</v>
      </c>
      <c r="Y2" s="15">
        <f>T2/W2</f>
        <v>0.53912917556448103</v>
      </c>
      <c r="AA2" s="146" t="s">
        <v>34</v>
      </c>
      <c r="AB2" s="134">
        <v>4.9860873150374303E-2</v>
      </c>
      <c r="AC2" s="17"/>
    </row>
    <row r="3" spans="1:30" ht="17.25" customHeight="1">
      <c r="A3" s="14">
        <f>'b（手動）計算用'!E6</f>
        <v>11</v>
      </c>
      <c r="B3" s="156">
        <f>'b（手動）計算用'!F6</f>
        <v>2400</v>
      </c>
      <c r="C3" s="26">
        <f xml:space="preserve"> '樹高計算 '!N122</f>
        <v>7.6866187767008665</v>
      </c>
      <c r="D3" s="26">
        <f>'b（手動）計算用'!G6</f>
        <v>7.6866187767008665</v>
      </c>
      <c r="E3" s="26">
        <f t="shared" ref="E3:E66" si="13">SQRT(B3)</f>
        <v>48.989794855663561</v>
      </c>
      <c r="F3" s="26">
        <f t="shared" si="0"/>
        <v>4.5966551466254817</v>
      </c>
      <c r="G3" s="26">
        <f t="shared" si="1"/>
        <v>27.024719617010089</v>
      </c>
      <c r="H3" s="26">
        <f t="shared" ref="H3:H66" si="14">200*SQRT(G3/(PI()*B3))</f>
        <v>11.973745881051132</v>
      </c>
      <c r="I3" s="26">
        <f t="shared" si="2"/>
        <v>11.817060145244328</v>
      </c>
      <c r="J3" s="27">
        <f t="shared" ref="J3:J66" si="15">($AB$2*C3^$AB$3*$AB$29+$AB$4*C3^$AB$5)^-1</f>
        <v>5.084703263736453E-2</v>
      </c>
      <c r="K3" s="155">
        <f t="shared" si="3"/>
        <v>2396.9280289345602</v>
      </c>
      <c r="L3" s="27">
        <f t="shared" si="4"/>
        <v>124.22331651364004</v>
      </c>
      <c r="M3" s="155">
        <f>'b（手動）計算用'!L6</f>
        <v>0</v>
      </c>
      <c r="N3" s="155">
        <f t="shared" si="5"/>
        <v>2400</v>
      </c>
      <c r="O3" s="26">
        <f t="shared" ref="O3:O66" si="16">SQRT(N3)</f>
        <v>48.989794855663561</v>
      </c>
      <c r="P3" s="26">
        <f t="shared" si="6"/>
        <v>4.5966551466254817</v>
      </c>
      <c r="Q3" s="26">
        <f t="shared" ref="Q3:Q66" si="17">T3/P3</f>
        <v>27.024719617010089</v>
      </c>
      <c r="R3" s="26">
        <f t="shared" ref="R3:R66" si="18">200*SQRT(Q3/(PI()*N3))</f>
        <v>11.973745881051132</v>
      </c>
      <c r="S3" s="26">
        <f t="shared" si="7"/>
        <v>11.817060145244328</v>
      </c>
      <c r="T3" s="27">
        <f t="shared" si="8"/>
        <v>124.22331651364004</v>
      </c>
      <c r="U3" s="27">
        <f t="shared" si="9"/>
        <v>0</v>
      </c>
      <c r="V3" s="27">
        <f t="shared" si="10"/>
        <v>9155.7124342477746</v>
      </c>
      <c r="W3" s="27">
        <f t="shared" si="11"/>
        <v>214.17899343917091</v>
      </c>
      <c r="X3" s="15">
        <f t="shared" si="12"/>
        <v>0.57999766699305544</v>
      </c>
      <c r="Y3" s="15">
        <f t="shared" ref="Y3:Y66" si="19">T3/W3</f>
        <v>0.57999766699305544</v>
      </c>
      <c r="AA3" s="147" t="s">
        <v>35</v>
      </c>
      <c r="AB3" s="135">
        <v>-1.30704687448686</v>
      </c>
      <c r="AC3" s="17"/>
    </row>
    <row r="4" spans="1:30" ht="17.25" customHeight="1">
      <c r="A4" s="14">
        <f>'b（手動）計算用'!E7</f>
        <v>12</v>
      </c>
      <c r="B4" s="156">
        <f>'b（手動）計算用'!F7</f>
        <v>2378.6995149385252</v>
      </c>
      <c r="C4" s="26">
        <f xml:space="preserve"> '樹高計算 '!N123</f>
        <v>8.3560214438217386</v>
      </c>
      <c r="D4" s="26">
        <f>'b（手動）計算用'!G7</f>
        <v>8.3560214438217386</v>
      </c>
      <c r="E4" s="26">
        <f t="shared" si="13"/>
        <v>48.771913176935406</v>
      </c>
      <c r="F4" s="26">
        <f t="shared" si="0"/>
        <v>4.905898274467198</v>
      </c>
      <c r="G4" s="26">
        <f t="shared" si="1"/>
        <v>29.916776234618826</v>
      </c>
      <c r="H4" s="26">
        <f t="shared" si="14"/>
        <v>12.654432216783126</v>
      </c>
      <c r="I4" s="26">
        <f t="shared" si="2"/>
        <v>12.468685617754097</v>
      </c>
      <c r="J4" s="27">
        <f t="shared" si="15"/>
        <v>6.0298009994016445E-2</v>
      </c>
      <c r="K4" s="155">
        <f t="shared" si="3"/>
        <v>2378.6995149385252</v>
      </c>
      <c r="L4" s="27">
        <f t="shared" si="4"/>
        <v>146.76866090703777</v>
      </c>
      <c r="M4" s="155">
        <f>'b（手動）計算用'!L7</f>
        <v>0</v>
      </c>
      <c r="N4" s="155">
        <f t="shared" si="5"/>
        <v>2378.6995149385252</v>
      </c>
      <c r="O4" s="26">
        <f t="shared" si="16"/>
        <v>48.771913176935406</v>
      </c>
      <c r="P4" s="26">
        <f t="shared" si="6"/>
        <v>4.905898274467198</v>
      </c>
      <c r="Q4" s="26">
        <f t="shared" si="17"/>
        <v>29.916776234618826</v>
      </c>
      <c r="R4" s="26">
        <f t="shared" si="18"/>
        <v>12.654432216783126</v>
      </c>
      <c r="S4" s="26">
        <f t="shared" si="7"/>
        <v>12.468685617754097</v>
      </c>
      <c r="T4" s="27">
        <f t="shared" si="8"/>
        <v>146.76866090703777</v>
      </c>
      <c r="U4" s="27">
        <f t="shared" si="9"/>
        <v>0</v>
      </c>
      <c r="V4" s="27">
        <f t="shared" si="10"/>
        <v>8181.5807476950058</v>
      </c>
      <c r="W4" s="27">
        <f t="shared" si="11"/>
        <v>238.87785292215841</v>
      </c>
      <c r="X4" s="15">
        <f t="shared" si="12"/>
        <v>0.61440882489371806</v>
      </c>
      <c r="Y4" s="15">
        <f t="shared" si="19"/>
        <v>0.61440882489371806</v>
      </c>
      <c r="AA4" s="147" t="s">
        <v>36</v>
      </c>
      <c r="AB4" s="135">
        <v>2467.3791999544601</v>
      </c>
      <c r="AC4" s="17"/>
    </row>
    <row r="5" spans="1:30" ht="17.25" customHeight="1" thickBot="1">
      <c r="A5" s="14">
        <f>'b（手動）計算用'!E8</f>
        <v>13</v>
      </c>
      <c r="B5" s="156">
        <f>'b（手動）計算用'!F8</f>
        <v>2359.9216915640836</v>
      </c>
      <c r="C5" s="26">
        <f xml:space="preserve"> '樹高計算 '!N124</f>
        <v>9.0132564321920068</v>
      </c>
      <c r="D5" s="26">
        <f>'b（手動）計算用'!G8</f>
        <v>9.0132564321920068</v>
      </c>
      <c r="E5" s="26">
        <f t="shared" si="13"/>
        <v>48.579025222456693</v>
      </c>
      <c r="F5" s="26">
        <f t="shared" si="0"/>
        <v>5.2092330541938843</v>
      </c>
      <c r="G5" s="26">
        <f t="shared" si="1"/>
        <v>32.701823830178071</v>
      </c>
      <c r="H5" s="26">
        <f t="shared" si="14"/>
        <v>13.282880041692236</v>
      </c>
      <c r="I5" s="26">
        <f t="shared" si="2"/>
        <v>13.068959350969083</v>
      </c>
      <c r="J5" s="27">
        <f t="shared" si="15"/>
        <v>7.0186457403033586E-2</v>
      </c>
      <c r="K5" s="155">
        <f t="shared" si="3"/>
        <v>2359.9216915640836</v>
      </c>
      <c r="L5" s="27">
        <f t="shared" si="4"/>
        <v>170.35142162858887</v>
      </c>
      <c r="M5" s="155">
        <f>'b（手動）計算用'!L8</f>
        <v>0</v>
      </c>
      <c r="N5" s="155">
        <f t="shared" si="5"/>
        <v>2359.9216915640836</v>
      </c>
      <c r="O5" s="26">
        <f t="shared" si="16"/>
        <v>48.579025222456693</v>
      </c>
      <c r="P5" s="26">
        <f t="shared" si="6"/>
        <v>5.2092330541938843</v>
      </c>
      <c r="Q5" s="26">
        <f t="shared" si="17"/>
        <v>32.701823830178071</v>
      </c>
      <c r="R5" s="26">
        <f t="shared" si="18"/>
        <v>13.282880041692236</v>
      </c>
      <c r="S5" s="26">
        <f t="shared" si="7"/>
        <v>13.068959350969083</v>
      </c>
      <c r="T5" s="27">
        <f t="shared" si="8"/>
        <v>170.35142162858887</v>
      </c>
      <c r="U5" s="27">
        <f t="shared" si="9"/>
        <v>0</v>
      </c>
      <c r="V5" s="27">
        <f t="shared" si="10"/>
        <v>7388.1982167880496</v>
      </c>
      <c r="W5" s="27">
        <f t="shared" si="11"/>
        <v>263.72690568919796</v>
      </c>
      <c r="X5" s="15">
        <f t="shared" si="12"/>
        <v>0.64593872659071028</v>
      </c>
      <c r="Y5" s="15">
        <f t="shared" si="19"/>
        <v>0.64593872659071028</v>
      </c>
      <c r="AA5" s="147" t="s">
        <v>37</v>
      </c>
      <c r="AB5" s="135">
        <v>-2.6542410279666</v>
      </c>
      <c r="AC5" s="17"/>
    </row>
    <row r="6" spans="1:30" ht="17.25" customHeight="1">
      <c r="A6" s="14">
        <f>'b（手動）計算用'!E9</f>
        <v>14</v>
      </c>
      <c r="B6" s="156">
        <f>'b（手動）計算用'!F9</f>
        <v>2340.7662406907311</v>
      </c>
      <c r="C6" s="26">
        <f xml:space="preserve"> '樹高計算 '!N125</f>
        <v>9.6580943635452208</v>
      </c>
      <c r="D6" s="26">
        <f>'b（手動）計算用'!G9</f>
        <v>9.6580943635452208</v>
      </c>
      <c r="E6" s="26">
        <f t="shared" si="13"/>
        <v>48.381465879928967</v>
      </c>
      <c r="F6" s="26">
        <f t="shared" si="0"/>
        <v>5.5058502025212741</v>
      </c>
      <c r="G6" s="26">
        <f t="shared" si="1"/>
        <v>35.362680279672055</v>
      </c>
      <c r="H6" s="26">
        <f t="shared" si="14"/>
        <v>13.869110997672966</v>
      </c>
      <c r="I6" s="26">
        <f t="shared" si="2"/>
        <v>13.628019851557575</v>
      </c>
      <c r="J6" s="27">
        <f t="shared" si="15"/>
        <v>8.0437234167163696E-2</v>
      </c>
      <c r="K6" s="155">
        <f t="shared" si="3"/>
        <v>2340.7662406907311</v>
      </c>
      <c r="L6" s="27">
        <f t="shared" si="4"/>
        <v>194.70162037952747</v>
      </c>
      <c r="M6" s="155">
        <f>'b（手動）計算用'!L9</f>
        <v>0</v>
      </c>
      <c r="N6" s="155">
        <f t="shared" si="5"/>
        <v>2340.7662406907311</v>
      </c>
      <c r="O6" s="26">
        <f t="shared" si="16"/>
        <v>48.381465879928967</v>
      </c>
      <c r="P6" s="26">
        <f t="shared" si="6"/>
        <v>5.5058502025212741</v>
      </c>
      <c r="Q6" s="26">
        <f t="shared" si="17"/>
        <v>35.362680279672055</v>
      </c>
      <c r="R6" s="26">
        <f t="shared" si="18"/>
        <v>13.869110997672966</v>
      </c>
      <c r="S6" s="26">
        <f t="shared" si="7"/>
        <v>13.628019851557575</v>
      </c>
      <c r="T6" s="27">
        <f t="shared" si="8"/>
        <v>194.70162037952747</v>
      </c>
      <c r="U6" s="27">
        <f t="shared" si="9"/>
        <v>0</v>
      </c>
      <c r="V6" s="27">
        <f t="shared" si="10"/>
        <v>6731.4654805546206</v>
      </c>
      <c r="W6" s="27">
        <f t="shared" si="11"/>
        <v>288.6546421581757</v>
      </c>
      <c r="X6" s="15">
        <f t="shared" si="12"/>
        <v>0.67451407995314949</v>
      </c>
      <c r="Y6" s="15">
        <f t="shared" si="19"/>
        <v>0.67451407995314949</v>
      </c>
      <c r="AA6" s="146" t="s">
        <v>48</v>
      </c>
      <c r="AB6" s="134"/>
      <c r="AC6" s="30"/>
    </row>
    <row r="7" spans="1:30" ht="17.25" customHeight="1">
      <c r="A7" s="14">
        <f>'b（手動）計算用'!E10</f>
        <v>15</v>
      </c>
      <c r="B7" s="156">
        <f>'b（手動）計算用'!F10</f>
        <v>2321.3807070057342</v>
      </c>
      <c r="C7" s="26">
        <f xml:space="preserve"> '樹高計算 '!N126</f>
        <v>10.290382189294702</v>
      </c>
      <c r="D7" s="26">
        <f>'b（手動）計算用'!G10</f>
        <v>10.290382189294702</v>
      </c>
      <c r="E7" s="26">
        <f t="shared" si="13"/>
        <v>48.180708867821096</v>
      </c>
      <c r="F7" s="26">
        <f t="shared" si="0"/>
        <v>5.7957192111674303</v>
      </c>
      <c r="G7" s="26">
        <f t="shared" si="1"/>
        <v>37.900725801422617</v>
      </c>
      <c r="H7" s="26">
        <f t="shared" si="14"/>
        <v>14.418020456639336</v>
      </c>
      <c r="I7" s="26">
        <f t="shared" si="2"/>
        <v>14.15072273584609</v>
      </c>
      <c r="J7" s="27">
        <f t="shared" si="15"/>
        <v>9.0983370474742517E-2</v>
      </c>
      <c r="K7" s="155">
        <f t="shared" si="3"/>
        <v>2321.3807070057342</v>
      </c>
      <c r="L7" s="27">
        <f t="shared" si="4"/>
        <v>219.66196464449416</v>
      </c>
      <c r="M7" s="155">
        <f>'b（手動）計算用'!L10</f>
        <v>0</v>
      </c>
      <c r="N7" s="155">
        <f t="shared" si="5"/>
        <v>2321.3807070057342</v>
      </c>
      <c r="O7" s="26">
        <f t="shared" si="16"/>
        <v>48.180708867821096</v>
      </c>
      <c r="P7" s="26">
        <f t="shared" si="6"/>
        <v>5.7957192111674303</v>
      </c>
      <c r="Q7" s="26">
        <f t="shared" si="17"/>
        <v>37.900725801422617</v>
      </c>
      <c r="R7" s="26">
        <f t="shared" si="18"/>
        <v>14.418020456639336</v>
      </c>
      <c r="S7" s="26">
        <f t="shared" si="7"/>
        <v>14.15072273584609</v>
      </c>
      <c r="T7" s="27">
        <f t="shared" si="8"/>
        <v>219.66196464449416</v>
      </c>
      <c r="U7" s="27">
        <f t="shared" si="9"/>
        <v>0</v>
      </c>
      <c r="V7" s="27">
        <f t="shared" si="10"/>
        <v>6180.2752037025102</v>
      </c>
      <c r="W7" s="27">
        <f t="shared" si="11"/>
        <v>313.59901968504505</v>
      </c>
      <c r="X7" s="15">
        <f t="shared" si="12"/>
        <v>0.70045488300666847</v>
      </c>
      <c r="Y7" s="15">
        <f t="shared" si="19"/>
        <v>0.70045488300666847</v>
      </c>
      <c r="AA7" s="148" t="s">
        <v>49</v>
      </c>
      <c r="AB7" s="136">
        <v>-1.3426837637901257</v>
      </c>
      <c r="AC7" s="30"/>
    </row>
    <row r="8" spans="1:30" ht="17.25" customHeight="1">
      <c r="A8" s="14">
        <f>'b（手動）計算用'!E11</f>
        <v>16</v>
      </c>
      <c r="B8" s="156">
        <f>'b（手動）計算用'!F11</f>
        <v>2301.8907004546645</v>
      </c>
      <c r="C8" s="26">
        <f xml:space="preserve"> '樹高計算 '!N127</f>
        <v>10.910026199109787</v>
      </c>
      <c r="D8" s="26">
        <f>'b（手動）計算用'!G11</f>
        <v>10.910026199109787</v>
      </c>
      <c r="E8" s="26">
        <f t="shared" si="13"/>
        <v>47.978023098650745</v>
      </c>
      <c r="F8" s="26">
        <f t="shared" si="0"/>
        <v>6.0788430620631564</v>
      </c>
      <c r="G8" s="26">
        <f t="shared" si="1"/>
        <v>40.319337456968768</v>
      </c>
      <c r="H8" s="26">
        <f t="shared" si="14"/>
        <v>14.933768118808958</v>
      </c>
      <c r="I8" s="26">
        <f t="shared" si="2"/>
        <v>14.641189504521389</v>
      </c>
      <c r="J8" s="27">
        <f t="shared" si="15"/>
        <v>0.1017654107699532</v>
      </c>
      <c r="K8" s="155">
        <f t="shared" si="3"/>
        <v>2301.8907004546645</v>
      </c>
      <c r="L8" s="27">
        <f t="shared" si="4"/>
        <v>245.09492476727775</v>
      </c>
      <c r="M8" s="155">
        <f>'b（手動）計算用'!L11</f>
        <v>0</v>
      </c>
      <c r="N8" s="155">
        <f t="shared" si="5"/>
        <v>2301.8907004546645</v>
      </c>
      <c r="O8" s="26">
        <f t="shared" si="16"/>
        <v>47.978023098650745</v>
      </c>
      <c r="P8" s="26">
        <f t="shared" si="6"/>
        <v>6.0788430620631564</v>
      </c>
      <c r="Q8" s="26">
        <f t="shared" si="17"/>
        <v>40.319337456968768</v>
      </c>
      <c r="R8" s="26">
        <f t="shared" si="18"/>
        <v>14.933768118808958</v>
      </c>
      <c r="S8" s="26">
        <f t="shared" si="7"/>
        <v>14.641189504521389</v>
      </c>
      <c r="T8" s="27">
        <f t="shared" si="8"/>
        <v>245.09492476727775</v>
      </c>
      <c r="U8" s="27">
        <f t="shared" si="9"/>
        <v>0</v>
      </c>
      <c r="V8" s="27">
        <f t="shared" si="10"/>
        <v>5712.1128292835456</v>
      </c>
      <c r="W8" s="27">
        <f t="shared" si="11"/>
        <v>338.50588381943311</v>
      </c>
      <c r="X8" s="15">
        <f t="shared" si="12"/>
        <v>0.72404923070116278</v>
      </c>
      <c r="Y8" s="15">
        <f t="shared" si="19"/>
        <v>0.72404923070116278</v>
      </c>
      <c r="AA8" s="148" t="s">
        <v>50</v>
      </c>
      <c r="AB8" s="136">
        <v>2.0107024079846725</v>
      </c>
      <c r="AC8" s="30"/>
    </row>
    <row r="9" spans="1:30" ht="17.25" customHeight="1" thickBot="1">
      <c r="A9" s="14">
        <f>'b（手動）計算用'!E12</f>
        <v>17</v>
      </c>
      <c r="B9" s="156">
        <f>'b（手動）計算用'!F12</f>
        <v>2282.402289098367</v>
      </c>
      <c r="C9" s="26">
        <f xml:space="preserve"> '樹高計算 '!N128</f>
        <v>11.516979531457144</v>
      </c>
      <c r="D9" s="26">
        <f>'b（手動）計算用'!G12</f>
        <v>11.516979531457144</v>
      </c>
      <c r="E9" s="26">
        <f t="shared" si="13"/>
        <v>47.774494127079642</v>
      </c>
      <c r="F9" s="26">
        <f t="shared" si="0"/>
        <v>6.3552505191544926</v>
      </c>
      <c r="G9" s="26">
        <f t="shared" si="1"/>
        <v>42.623082818629989</v>
      </c>
      <c r="H9" s="26">
        <f t="shared" si="14"/>
        <v>15.419894102533082</v>
      </c>
      <c r="I9" s="26">
        <f t="shared" si="2"/>
        <v>15.102923750828976</v>
      </c>
      <c r="J9" s="27">
        <f t="shared" si="15"/>
        <v>0.11273068708485921</v>
      </c>
      <c r="K9" s="155">
        <f t="shared" si="3"/>
        <v>2282.402289098367</v>
      </c>
      <c r="L9" s="27">
        <f t="shared" si="4"/>
        <v>270.88036921106317</v>
      </c>
      <c r="M9" s="155">
        <f>'b（手動）計算用'!L12</f>
        <v>0</v>
      </c>
      <c r="N9" s="155">
        <f t="shared" si="5"/>
        <v>2282.402289098367</v>
      </c>
      <c r="O9" s="26">
        <f t="shared" si="16"/>
        <v>47.774494127079642</v>
      </c>
      <c r="P9" s="26">
        <f t="shared" si="6"/>
        <v>6.3552505191544926</v>
      </c>
      <c r="Q9" s="26">
        <f t="shared" si="17"/>
        <v>42.623082818629989</v>
      </c>
      <c r="R9" s="26">
        <f t="shared" si="18"/>
        <v>15.419894102533082</v>
      </c>
      <c r="S9" s="26">
        <f t="shared" si="7"/>
        <v>15.102923750828976</v>
      </c>
      <c r="T9" s="27">
        <f t="shared" si="8"/>
        <v>270.88036921106317</v>
      </c>
      <c r="U9" s="27">
        <f t="shared" si="9"/>
        <v>0</v>
      </c>
      <c r="V9" s="27">
        <f t="shared" si="10"/>
        <v>5310.3172628253606</v>
      </c>
      <c r="W9" s="27">
        <f t="shared" si="11"/>
        <v>363.3277384563458</v>
      </c>
      <c r="X9" s="15">
        <f t="shared" si="12"/>
        <v>0.74555378117272408</v>
      </c>
      <c r="Y9" s="15">
        <f t="shared" si="19"/>
        <v>0.74555378117272408</v>
      </c>
      <c r="AA9" s="149" t="s">
        <v>51</v>
      </c>
      <c r="AB9" s="137">
        <v>-0.52082360475752221</v>
      </c>
      <c r="AC9" s="17"/>
    </row>
    <row r="10" spans="1:30" ht="17.25" customHeight="1">
      <c r="A10" s="14">
        <f>'b（手動）計算用'!E13</f>
        <v>18</v>
      </c>
      <c r="B10" s="156">
        <f>'b（手動）計算用'!F13</f>
        <v>2263.0043655536742</v>
      </c>
      <c r="C10" s="26">
        <f xml:space="preserve"> '樹高計算 '!N129</f>
        <v>12.111232869455735</v>
      </c>
      <c r="D10" s="26">
        <f>'b（手動）計算用'!G13</f>
        <v>12.111232869455735</v>
      </c>
      <c r="E10" s="26">
        <f t="shared" si="13"/>
        <v>47.571045453654627</v>
      </c>
      <c r="F10" s="26">
        <f t="shared" si="0"/>
        <v>6.6249902867762094</v>
      </c>
      <c r="G10" s="26">
        <f t="shared" si="1"/>
        <v>44.817176565885553</v>
      </c>
      <c r="H10" s="26">
        <f t="shared" si="14"/>
        <v>15.879419059129921</v>
      </c>
      <c r="I10" s="26">
        <f t="shared" si="2"/>
        <v>15.538911291599399</v>
      </c>
      <c r="J10" s="27">
        <f t="shared" si="15"/>
        <v>0.12383259681756888</v>
      </c>
      <c r="K10" s="155">
        <f t="shared" si="3"/>
        <v>2263.0043655536742</v>
      </c>
      <c r="L10" s="27">
        <f t="shared" si="4"/>
        <v>296.91335942972614</v>
      </c>
      <c r="M10" s="155">
        <f>'b（手動）計算用'!L13</f>
        <v>0</v>
      </c>
      <c r="N10" s="155">
        <f t="shared" si="5"/>
        <v>2263.0043655536742</v>
      </c>
      <c r="O10" s="26">
        <f t="shared" si="16"/>
        <v>47.571045453654627</v>
      </c>
      <c r="P10" s="26">
        <f t="shared" si="6"/>
        <v>6.6249902867762094</v>
      </c>
      <c r="Q10" s="26">
        <f t="shared" si="17"/>
        <v>44.817176565885553</v>
      </c>
      <c r="R10" s="26">
        <f t="shared" si="18"/>
        <v>15.879419059129921</v>
      </c>
      <c r="S10" s="26">
        <f t="shared" si="7"/>
        <v>15.538911291599399</v>
      </c>
      <c r="T10" s="27">
        <f t="shared" si="8"/>
        <v>296.91335942972614</v>
      </c>
      <c r="U10" s="27">
        <f t="shared" si="9"/>
        <v>0</v>
      </c>
      <c r="V10" s="27">
        <f t="shared" si="10"/>
        <v>4962.3180966626378</v>
      </c>
      <c r="W10" s="27">
        <f t="shared" si="11"/>
        <v>388.02277354538859</v>
      </c>
      <c r="X10" s="15">
        <f t="shared" si="12"/>
        <v>0.76519570415109928</v>
      </c>
      <c r="Y10" s="15">
        <f t="shared" si="19"/>
        <v>0.76519570415109928</v>
      </c>
      <c r="AA10" s="147" t="s">
        <v>52</v>
      </c>
      <c r="AB10" s="135"/>
      <c r="AC10" s="17"/>
    </row>
    <row r="11" spans="1:30" ht="17.25" customHeight="1">
      <c r="A11" s="14">
        <f>'b（手動）計算用'!E14</f>
        <v>19</v>
      </c>
      <c r="B11" s="156">
        <f>'b（手動）計算用'!F14</f>
        <v>2243.7708697822568</v>
      </c>
      <c r="C11" s="26">
        <f xml:space="preserve"> '樹高計算 '!N130</f>
        <v>12.692807439777415</v>
      </c>
      <c r="D11" s="26">
        <f>'b（手動）計算用'!G14</f>
        <v>12.692807439777415</v>
      </c>
      <c r="E11" s="26">
        <f t="shared" si="13"/>
        <v>47.368458596224734</v>
      </c>
      <c r="F11" s="26">
        <f t="shared" si="0"/>
        <v>6.8881265559320202</v>
      </c>
      <c r="G11" s="26">
        <f t="shared" si="1"/>
        <v>46.907118971720649</v>
      </c>
      <c r="H11" s="26">
        <f t="shared" si="14"/>
        <v>16.314928932358175</v>
      </c>
      <c r="I11" s="26">
        <f t="shared" si="2"/>
        <v>15.951704886413307</v>
      </c>
      <c r="J11" s="27">
        <f t="shared" si="15"/>
        <v>0.13502992388089977</v>
      </c>
      <c r="K11" s="155">
        <f t="shared" si="3"/>
        <v>2243.7708697822568</v>
      </c>
      <c r="L11" s="27">
        <f t="shared" si="4"/>
        <v>323.10217185137168</v>
      </c>
      <c r="M11" s="155">
        <f>'b（手動）計算用'!L14</f>
        <v>0</v>
      </c>
      <c r="N11" s="155">
        <f t="shared" si="5"/>
        <v>2243.7708697822568</v>
      </c>
      <c r="O11" s="26">
        <f t="shared" si="16"/>
        <v>47.368458596224734</v>
      </c>
      <c r="P11" s="26">
        <f t="shared" si="6"/>
        <v>6.8881265559320202</v>
      </c>
      <c r="Q11" s="26">
        <f t="shared" si="17"/>
        <v>46.907118971720649</v>
      </c>
      <c r="R11" s="26">
        <f t="shared" si="18"/>
        <v>16.314928932358175</v>
      </c>
      <c r="S11" s="26">
        <f t="shared" si="7"/>
        <v>15.951704886413307</v>
      </c>
      <c r="T11" s="27">
        <f t="shared" si="8"/>
        <v>323.10217185137168</v>
      </c>
      <c r="U11" s="27">
        <f t="shared" si="9"/>
        <v>0</v>
      </c>
      <c r="V11" s="27">
        <f t="shared" si="10"/>
        <v>4658.4683437813201</v>
      </c>
      <c r="W11" s="27">
        <f t="shared" si="11"/>
        <v>412.55408688025062</v>
      </c>
      <c r="X11" s="15">
        <f t="shared" si="12"/>
        <v>0.78317530264863533</v>
      </c>
      <c r="Y11" s="15">
        <f t="shared" si="19"/>
        <v>0.78317530264863533</v>
      </c>
      <c r="AA11" s="148" t="s">
        <v>49</v>
      </c>
      <c r="AB11" s="138">
        <v>0.98193718904084992</v>
      </c>
      <c r="AC11" s="17"/>
    </row>
    <row r="12" spans="1:30" ht="17.25" customHeight="1">
      <c r="A12" s="14">
        <f>'b（手動）計算用'!E15</f>
        <v>20</v>
      </c>
      <c r="B12" s="156">
        <f>'b（手動）計算用'!F15</f>
        <v>2224.7628122291453</v>
      </c>
      <c r="C12" s="26">
        <f xml:space="preserve"> '樹高計算 '!N131</f>
        <v>13.261749704127018</v>
      </c>
      <c r="D12" s="26">
        <f>'b（手動）計算用'!G15</f>
        <v>13.261749704127018</v>
      </c>
      <c r="E12" s="26">
        <f t="shared" si="13"/>
        <v>47.167391407932932</v>
      </c>
      <c r="F12" s="26">
        <f t="shared" si="0"/>
        <v>7.1447355953613316</v>
      </c>
      <c r="G12" s="26">
        <f t="shared" si="1"/>
        <v>48.898459538373636</v>
      </c>
      <c r="H12" s="26">
        <f t="shared" si="14"/>
        <v>16.728645956021467</v>
      </c>
      <c r="I12" s="26">
        <f t="shared" si="2"/>
        <v>16.343495164728143</v>
      </c>
      <c r="J12" s="27">
        <f t="shared" si="15"/>
        <v>0.1462862210719601</v>
      </c>
      <c r="K12" s="155">
        <f t="shared" si="3"/>
        <v>2224.7628122291453</v>
      </c>
      <c r="L12" s="27">
        <f t="shared" si="4"/>
        <v>349.36656442215394</v>
      </c>
      <c r="M12" s="155">
        <f>'b（手動）計算用'!L15</f>
        <v>0</v>
      </c>
      <c r="N12" s="155">
        <f t="shared" si="5"/>
        <v>2224.7628122291453</v>
      </c>
      <c r="O12" s="26">
        <f t="shared" si="16"/>
        <v>47.167391407932932</v>
      </c>
      <c r="P12" s="26">
        <f t="shared" si="6"/>
        <v>7.1447355953613316</v>
      </c>
      <c r="Q12" s="26">
        <f t="shared" si="17"/>
        <v>48.898459538373636</v>
      </c>
      <c r="R12" s="26">
        <f t="shared" si="18"/>
        <v>16.728645956021467</v>
      </c>
      <c r="S12" s="26">
        <f t="shared" si="7"/>
        <v>16.343495164728143</v>
      </c>
      <c r="T12" s="27">
        <f t="shared" si="8"/>
        <v>349.36656442215394</v>
      </c>
      <c r="U12" s="27">
        <f t="shared" si="9"/>
        <v>0</v>
      </c>
      <c r="V12" s="27">
        <f t="shared" si="10"/>
        <v>4391.2518708833832</v>
      </c>
      <c r="W12" s="27">
        <f t="shared" si="11"/>
        <v>436.88905459222531</v>
      </c>
      <c r="X12" s="15">
        <f t="shared" si="12"/>
        <v>0.79966884212340517</v>
      </c>
      <c r="Y12" s="15">
        <f t="shared" si="19"/>
        <v>0.79966884212340517</v>
      </c>
      <c r="AA12" s="148" t="s">
        <v>53</v>
      </c>
      <c r="AB12" s="138">
        <v>0.3208955991226885</v>
      </c>
    </row>
    <row r="13" spans="1:30" ht="17.25" customHeight="1" thickBot="1">
      <c r="A13" s="14">
        <f>'b（手動）計算用'!E16</f>
        <v>21</v>
      </c>
      <c r="B13" s="156">
        <f>'b（手動）計算用'!F16</f>
        <v>2206.0300779597787</v>
      </c>
      <c r="C13" s="26">
        <f xml:space="preserve"> '樹高計算 '!N132</f>
        <v>13.818127308626075</v>
      </c>
      <c r="D13" s="26">
        <f>'b（手動）計算用'!G16</f>
        <v>13.818127308626075</v>
      </c>
      <c r="E13" s="26">
        <f t="shared" si="13"/>
        <v>46.968394457973318</v>
      </c>
      <c r="F13" s="26">
        <f t="shared" si="0"/>
        <v>7.3949031354705124</v>
      </c>
      <c r="G13" s="26">
        <f t="shared" si="1"/>
        <v>50.796646305603986</v>
      </c>
      <c r="H13" s="26">
        <f t="shared" si="14"/>
        <v>17.122487770521573</v>
      </c>
      <c r="I13" s="26">
        <f t="shared" si="2"/>
        <v>16.71616965714956</v>
      </c>
      <c r="J13" s="27">
        <f t="shared" si="15"/>
        <v>0.15756925933908131</v>
      </c>
      <c r="K13" s="155">
        <f t="shared" si="3"/>
        <v>2206.0300779597787</v>
      </c>
      <c r="L13" s="27">
        <f t="shared" si="4"/>
        <v>375.63627903669754</v>
      </c>
      <c r="M13" s="155">
        <f>'b（手動）計算用'!L16</f>
        <v>0</v>
      </c>
      <c r="N13" s="155">
        <f t="shared" si="5"/>
        <v>2206.0300779597787</v>
      </c>
      <c r="O13" s="26">
        <f t="shared" si="16"/>
        <v>46.968394457973318</v>
      </c>
      <c r="P13" s="26">
        <f t="shared" si="6"/>
        <v>7.3949031354705124</v>
      </c>
      <c r="Q13" s="26">
        <f t="shared" si="17"/>
        <v>50.796646305603986</v>
      </c>
      <c r="R13" s="26">
        <f t="shared" si="18"/>
        <v>17.122487770521573</v>
      </c>
      <c r="S13" s="26">
        <f t="shared" si="7"/>
        <v>16.71616965714956</v>
      </c>
      <c r="T13" s="27">
        <f t="shared" si="8"/>
        <v>375.63627903669754</v>
      </c>
      <c r="U13" s="27">
        <f t="shared" si="9"/>
        <v>0</v>
      </c>
      <c r="V13" s="27">
        <f t="shared" si="10"/>
        <v>4154.7331778594171</v>
      </c>
      <c r="W13" s="27">
        <f t="shared" si="11"/>
        <v>460.99881708020934</v>
      </c>
      <c r="X13" s="15">
        <f t="shared" si="12"/>
        <v>0.81483132953753434</v>
      </c>
      <c r="Y13" s="15">
        <f t="shared" si="19"/>
        <v>0.81483132953753434</v>
      </c>
      <c r="AA13" s="148" t="s">
        <v>54</v>
      </c>
      <c r="AB13" s="138">
        <v>0.304891093463174</v>
      </c>
    </row>
    <row r="14" spans="1:30" ht="17.25" customHeight="1">
      <c r="A14" s="14">
        <f>'b（手動）計算用'!E17</f>
        <v>22</v>
      </c>
      <c r="B14" s="156">
        <f>'b（手動）計算用'!F17</f>
        <v>2187.6130135408257</v>
      </c>
      <c r="C14" s="26">
        <f xml:space="preserve"> '樹高計算 '!N133</f>
        <v>14.362025973710765</v>
      </c>
      <c r="D14" s="26">
        <f>'b（手動）計算用'!G17</f>
        <v>14.362025973710765</v>
      </c>
      <c r="E14" s="26">
        <f t="shared" si="13"/>
        <v>46.771925484641166</v>
      </c>
      <c r="F14" s="26">
        <f t="shared" si="0"/>
        <v>7.6387223565312956</v>
      </c>
      <c r="G14" s="26">
        <f t="shared" si="1"/>
        <v>52.606933471927981</v>
      </c>
      <c r="H14" s="26">
        <f t="shared" si="14"/>
        <v>17.498116499979073</v>
      </c>
      <c r="I14" s="26">
        <f t="shared" si="2"/>
        <v>17.07136178153004</v>
      </c>
      <c r="J14" s="27">
        <f t="shared" si="15"/>
        <v>0.16885054285936058</v>
      </c>
      <c r="K14" s="155">
        <f t="shared" si="3"/>
        <v>2187.6130135408257</v>
      </c>
      <c r="L14" s="27">
        <f t="shared" si="4"/>
        <v>401.8497588205708</v>
      </c>
      <c r="M14" s="155">
        <f>'b（手動）計算用'!L17</f>
        <v>0</v>
      </c>
      <c r="N14" s="155">
        <f t="shared" si="5"/>
        <v>2187.6130135408257</v>
      </c>
      <c r="O14" s="26">
        <f t="shared" si="16"/>
        <v>46.771925484641166</v>
      </c>
      <c r="P14" s="26">
        <f t="shared" si="6"/>
        <v>7.6387223565312956</v>
      </c>
      <c r="Q14" s="26">
        <f t="shared" si="17"/>
        <v>52.606933471927981</v>
      </c>
      <c r="R14" s="26">
        <f t="shared" si="18"/>
        <v>17.498116499979073</v>
      </c>
      <c r="S14" s="26">
        <f t="shared" si="7"/>
        <v>17.07136178153004</v>
      </c>
      <c r="T14" s="27">
        <f t="shared" si="8"/>
        <v>401.8497588205708</v>
      </c>
      <c r="U14" s="27">
        <f t="shared" si="9"/>
        <v>0</v>
      </c>
      <c r="V14" s="27">
        <f t="shared" si="10"/>
        <v>3944.1677958941427</v>
      </c>
      <c r="W14" s="27">
        <f t="shared" si="11"/>
        <v>484.85785543257117</v>
      </c>
      <c r="X14" s="15">
        <f t="shared" si="12"/>
        <v>0.82879910950820046</v>
      </c>
      <c r="Y14" s="15">
        <f t="shared" si="19"/>
        <v>0.82879910950820046</v>
      </c>
      <c r="AA14" s="150" t="s">
        <v>55</v>
      </c>
      <c r="AB14" s="139"/>
    </row>
    <row r="15" spans="1:30" ht="17.25" customHeight="1">
      <c r="A15" s="14">
        <f>'b（手動）計算用'!E18</f>
        <v>23</v>
      </c>
      <c r="B15" s="156">
        <f>'b（手動）計算用'!F18</f>
        <v>2169.5438098124546</v>
      </c>
      <c r="C15" s="26">
        <f xml:space="preserve"> '樹高計算 '!N134</f>
        <v>14.893547087821741</v>
      </c>
      <c r="D15" s="26">
        <f>'b（手動）計算用'!G18</f>
        <v>14.893547087821741</v>
      </c>
      <c r="E15" s="26">
        <f t="shared" si="13"/>
        <v>46.578362034451736</v>
      </c>
      <c r="F15" s="26">
        <f t="shared" si="0"/>
        <v>7.8762923377713907</v>
      </c>
      <c r="G15" s="26">
        <f t="shared" si="1"/>
        <v>54.334328414778533</v>
      </c>
      <c r="H15" s="26">
        <f t="shared" si="14"/>
        <v>17.856979452220891</v>
      </c>
      <c r="I15" s="26">
        <f t="shared" si="2"/>
        <v>17.410491451585159</v>
      </c>
      <c r="J15" s="27">
        <f t="shared" si="15"/>
        <v>0.18010488532852523</v>
      </c>
      <c r="K15" s="155">
        <f t="shared" si="3"/>
        <v>2169.5438098124546</v>
      </c>
      <c r="L15" s="27">
        <f t="shared" si="4"/>
        <v>427.95305457127449</v>
      </c>
      <c r="M15" s="155">
        <f>'b（手動）計算用'!L18</f>
        <v>0</v>
      </c>
      <c r="N15" s="155">
        <f t="shared" si="5"/>
        <v>2169.5438098124546</v>
      </c>
      <c r="O15" s="26">
        <f t="shared" si="16"/>
        <v>46.578362034451736</v>
      </c>
      <c r="P15" s="26">
        <f t="shared" si="6"/>
        <v>7.8762923377713907</v>
      </c>
      <c r="Q15" s="26">
        <f t="shared" si="17"/>
        <v>54.334328414778533</v>
      </c>
      <c r="R15" s="26">
        <f t="shared" si="18"/>
        <v>17.856979452220891</v>
      </c>
      <c r="S15" s="26">
        <f t="shared" si="7"/>
        <v>17.410491451585159</v>
      </c>
      <c r="T15" s="27">
        <f t="shared" si="8"/>
        <v>427.95305457127449</v>
      </c>
      <c r="U15" s="27">
        <f t="shared" si="9"/>
        <v>0</v>
      </c>
      <c r="V15" s="27">
        <f t="shared" si="10"/>
        <v>3755.7214849317797</v>
      </c>
      <c r="W15" s="27">
        <f t="shared" si="11"/>
        <v>508.44363926824008</v>
      </c>
      <c r="X15" s="15">
        <f t="shared" si="12"/>
        <v>0.84169221821162155</v>
      </c>
      <c r="Y15" s="15">
        <f t="shared" si="19"/>
        <v>0.84169221821162155</v>
      </c>
      <c r="AA15" s="148" t="s">
        <v>49</v>
      </c>
      <c r="AB15" s="138">
        <v>0.22306116552799216</v>
      </c>
    </row>
    <row r="16" spans="1:30" ht="17.25" customHeight="1">
      <c r="A16" s="14">
        <f>'b（手動）計算用'!E19</f>
        <v>24</v>
      </c>
      <c r="B16" s="156">
        <f>'b（手動）計算用'!F19</f>
        <v>2151.8476991637572</v>
      </c>
      <c r="C16" s="26">
        <f xml:space="preserve"> '樹高計算 '!N135</f>
        <v>15.412805825357026</v>
      </c>
      <c r="D16" s="26">
        <f>'b（手動）計算用'!G19</f>
        <v>15.412805825357026</v>
      </c>
      <c r="E16" s="26">
        <f t="shared" si="13"/>
        <v>46.388012451103755</v>
      </c>
      <c r="F16" s="26">
        <f t="shared" si="0"/>
        <v>8.1077168571124503</v>
      </c>
      <c r="G16" s="26">
        <f t="shared" si="1"/>
        <v>55.98356505950219</v>
      </c>
      <c r="H16" s="26">
        <f t="shared" si="14"/>
        <v>18.20034287893408</v>
      </c>
      <c r="I16" s="26">
        <f t="shared" si="2"/>
        <v>17.734798748539937</v>
      </c>
      <c r="J16" s="27">
        <f t="shared" si="15"/>
        <v>0.1913100412783364</v>
      </c>
      <c r="K16" s="155">
        <f t="shared" si="3"/>
        <v>2151.8476991637572</v>
      </c>
      <c r="L16" s="27">
        <f t="shared" si="4"/>
        <v>453.89889415417747</v>
      </c>
      <c r="M16" s="155">
        <f>'b（手動）計算用'!L19</f>
        <v>0</v>
      </c>
      <c r="N16" s="155">
        <f t="shared" si="5"/>
        <v>2151.8476991637572</v>
      </c>
      <c r="O16" s="26">
        <f t="shared" si="16"/>
        <v>46.388012451103755</v>
      </c>
      <c r="P16" s="26">
        <f t="shared" si="6"/>
        <v>8.1077168571124503</v>
      </c>
      <c r="Q16" s="26">
        <f t="shared" si="17"/>
        <v>55.98356505950219</v>
      </c>
      <c r="R16" s="26">
        <f t="shared" si="18"/>
        <v>18.20034287893408</v>
      </c>
      <c r="S16" s="26">
        <f t="shared" si="7"/>
        <v>17.734798748539937</v>
      </c>
      <c r="T16" s="27">
        <f t="shared" si="8"/>
        <v>453.89889415417747</v>
      </c>
      <c r="U16" s="27">
        <f t="shared" si="9"/>
        <v>0</v>
      </c>
      <c r="V16" s="27">
        <f t="shared" si="10"/>
        <v>3586.2645877786294</v>
      </c>
      <c r="W16" s="27">
        <f t="shared" si="11"/>
        <v>531.73633117495217</v>
      </c>
      <c r="X16" s="15">
        <f t="shared" si="12"/>
        <v>0.85361647783445405</v>
      </c>
      <c r="Y16" s="15">
        <f t="shared" si="19"/>
        <v>0.85361647783445405</v>
      </c>
      <c r="AA16" s="148" t="s">
        <v>56</v>
      </c>
      <c r="AB16" s="138">
        <v>0.99285266891558221</v>
      </c>
    </row>
    <row r="17" spans="1:29" ht="17.25" customHeight="1" thickBot="1">
      <c r="A17" s="14">
        <f>'b（手動）計算用'!E20</f>
        <v>25</v>
      </c>
      <c r="B17" s="156">
        <f>'b（手動）計算用'!F20</f>
        <v>2134.5439878349262</v>
      </c>
      <c r="C17" s="26">
        <f xml:space="preserve"> '樹高計算 '!N136</f>
        <v>15.919929651162615</v>
      </c>
      <c r="D17" s="26">
        <f>'b（手動）計算用'!G20</f>
        <v>15.919929651162615</v>
      </c>
      <c r="E17" s="26">
        <f t="shared" si="13"/>
        <v>46.20112539576202</v>
      </c>
      <c r="F17" s="26">
        <f t="shared" si="0"/>
        <v>8.3331034561552428</v>
      </c>
      <c r="G17" s="26">
        <f t="shared" si="1"/>
        <v>57.559094611411965</v>
      </c>
      <c r="H17" s="26">
        <f t="shared" si="14"/>
        <v>18.529320008350467</v>
      </c>
      <c r="I17" s="26">
        <f t="shared" si="2"/>
        <v>18.04537187006207</v>
      </c>
      <c r="J17" s="27">
        <f t="shared" si="15"/>
        <v>0.20244638576547361</v>
      </c>
      <c r="K17" s="155">
        <f t="shared" si="3"/>
        <v>2134.5439878349262</v>
      </c>
      <c r="L17" s="27">
        <f t="shared" si="4"/>
        <v>479.64589023952368</v>
      </c>
      <c r="M17" s="155">
        <f>'b（手動）計算用'!L20</f>
        <v>0</v>
      </c>
      <c r="N17" s="155">
        <f t="shared" si="5"/>
        <v>2134.5439878349262</v>
      </c>
      <c r="O17" s="26">
        <f t="shared" si="16"/>
        <v>46.20112539576202</v>
      </c>
      <c r="P17" s="26">
        <f t="shared" si="6"/>
        <v>8.3331034561552428</v>
      </c>
      <c r="Q17" s="26">
        <f t="shared" si="17"/>
        <v>57.559094611411965</v>
      </c>
      <c r="R17" s="26">
        <f t="shared" si="18"/>
        <v>18.529320008350467</v>
      </c>
      <c r="S17" s="26">
        <f t="shared" si="7"/>
        <v>18.04537187006207</v>
      </c>
      <c r="T17" s="27">
        <f t="shared" si="8"/>
        <v>479.64589023952368</v>
      </c>
      <c r="U17" s="27">
        <f t="shared" si="9"/>
        <v>0</v>
      </c>
      <c r="V17" s="27">
        <f t="shared" si="10"/>
        <v>3433.2192284881103</v>
      </c>
      <c r="W17" s="27">
        <f t="shared" si="11"/>
        <v>554.7185360791425</v>
      </c>
      <c r="X17" s="15">
        <f t="shared" si="12"/>
        <v>0.8646653375417257</v>
      </c>
      <c r="Y17" s="15">
        <f t="shared" si="19"/>
        <v>0.8646653375417257</v>
      </c>
      <c r="AA17" s="149" t="s">
        <v>54</v>
      </c>
      <c r="AB17" s="140">
        <v>-7.8118223972510212E-2</v>
      </c>
    </row>
    <row r="18" spans="1:29" ht="17.25" customHeight="1" thickBot="1">
      <c r="A18" s="14">
        <f>'b（手動）計算用'!E21</f>
        <v>26</v>
      </c>
      <c r="B18" s="156">
        <f>'b（手動）計算用'!F21</f>
        <v>2117.6469436323105</v>
      </c>
      <c r="C18" s="26">
        <f xml:space="preserve"> '樹高計算 '!N137</f>
        <v>16.415057105306442</v>
      </c>
      <c r="D18" s="26">
        <f>'b（手動）計算用'!G21</f>
        <v>16.415057105306442</v>
      </c>
      <c r="E18" s="26">
        <f t="shared" si="13"/>
        <v>46.017898079250756</v>
      </c>
      <c r="F18" s="26">
        <f t="shared" si="0"/>
        <v>8.552562704039433</v>
      </c>
      <c r="G18" s="26">
        <f t="shared" si="1"/>
        <v>59.065087480557075</v>
      </c>
      <c r="H18" s="26">
        <f t="shared" si="14"/>
        <v>18.844894358159177</v>
      </c>
      <c r="I18" s="26">
        <f t="shared" si="2"/>
        <v>18.343170365246365</v>
      </c>
      <c r="J18" s="27">
        <f t="shared" si="15"/>
        <v>0.21349663592848853</v>
      </c>
      <c r="K18" s="155">
        <f t="shared" si="3"/>
        <v>2117.6469436323105</v>
      </c>
      <c r="L18" s="27">
        <f t="shared" si="4"/>
        <v>505.15786429703888</v>
      </c>
      <c r="M18" s="155">
        <f>'b（手動）計算用'!L21</f>
        <v>0</v>
      </c>
      <c r="N18" s="155">
        <f t="shared" si="5"/>
        <v>2117.6469436323105</v>
      </c>
      <c r="O18" s="26">
        <f t="shared" si="16"/>
        <v>46.017898079250756</v>
      </c>
      <c r="P18" s="26">
        <f t="shared" si="6"/>
        <v>8.552562704039433</v>
      </c>
      <c r="Q18" s="26">
        <f t="shared" si="17"/>
        <v>59.065087480557075</v>
      </c>
      <c r="R18" s="26">
        <f t="shared" si="18"/>
        <v>18.844894358159177</v>
      </c>
      <c r="S18" s="26">
        <f t="shared" si="7"/>
        <v>18.343170365246365</v>
      </c>
      <c r="T18" s="27">
        <f t="shared" si="8"/>
        <v>505.15786429703888</v>
      </c>
      <c r="U18" s="27">
        <f t="shared" si="9"/>
        <v>0</v>
      </c>
      <c r="V18" s="27">
        <f t="shared" si="10"/>
        <v>3294.444268895495</v>
      </c>
      <c r="W18" s="27">
        <f t="shared" si="11"/>
        <v>577.37508628536932</v>
      </c>
      <c r="X18" s="15">
        <f t="shared" si="12"/>
        <v>0.87492147876876547</v>
      </c>
      <c r="Y18" s="15">
        <f t="shared" si="19"/>
        <v>0.87492147876876547</v>
      </c>
      <c r="AA18" s="141"/>
      <c r="AB18" s="141"/>
    </row>
    <row r="19" spans="1:29" ht="17.25" customHeight="1" thickBot="1">
      <c r="A19" s="14">
        <f>'b（手動）計算用'!E22</f>
        <v>27</v>
      </c>
      <c r="B19" s="156">
        <f>'b（手動）計算用'!F22</f>
        <v>2101.166558191509</v>
      </c>
      <c r="C19" s="26">
        <f xml:space="preserve"> '樹高計算 '!N138</f>
        <v>16.898336786226629</v>
      </c>
      <c r="D19" s="26">
        <f>'b（手動）計算用'!G22</f>
        <v>16.898336786226629</v>
      </c>
      <c r="E19" s="26">
        <f t="shared" si="13"/>
        <v>45.83848337577836</v>
      </c>
      <c r="F19" s="26">
        <f t="shared" si="0"/>
        <v>8.7662076086466776</v>
      </c>
      <c r="G19" s="26">
        <f t="shared" si="1"/>
        <v>60.505442179428847</v>
      </c>
      <c r="H19" s="26">
        <f t="shared" si="14"/>
        <v>19.1479391590434</v>
      </c>
      <c r="I19" s="26">
        <f t="shared" si="2"/>
        <v>18.629044486580348</v>
      </c>
      <c r="J19" s="27">
        <f t="shared" si="15"/>
        <v>0.22444560839032568</v>
      </c>
      <c r="K19" s="155">
        <f t="shared" si="3"/>
        <v>2101.166558191509</v>
      </c>
      <c r="L19" s="27">
        <f t="shared" si="4"/>
        <v>530.4032675978408</v>
      </c>
      <c r="M19" s="155">
        <f>'b（手動）計算用'!L22</f>
        <v>0</v>
      </c>
      <c r="N19" s="155">
        <f t="shared" si="5"/>
        <v>2101.166558191509</v>
      </c>
      <c r="O19" s="26">
        <f t="shared" si="16"/>
        <v>45.83848337577836</v>
      </c>
      <c r="P19" s="26">
        <f t="shared" si="6"/>
        <v>8.7662076086466776</v>
      </c>
      <c r="Q19" s="26">
        <f t="shared" si="17"/>
        <v>60.505442179428847</v>
      </c>
      <c r="R19" s="26">
        <f t="shared" si="18"/>
        <v>19.1479391590434</v>
      </c>
      <c r="S19" s="26">
        <f t="shared" si="7"/>
        <v>18.629044486580348</v>
      </c>
      <c r="T19" s="27">
        <f t="shared" si="8"/>
        <v>530.4032675978408</v>
      </c>
      <c r="U19" s="27">
        <f t="shared" si="9"/>
        <v>0</v>
      </c>
      <c r="V19" s="27">
        <f t="shared" si="10"/>
        <v>3168.1476424604743</v>
      </c>
      <c r="W19" s="27">
        <f t="shared" si="11"/>
        <v>599.6928547969045</v>
      </c>
      <c r="X19" s="15">
        <f t="shared" si="12"/>
        <v>0.88445820782285334</v>
      </c>
      <c r="Y19" s="15">
        <f t="shared" si="19"/>
        <v>0.88445820782285334</v>
      </c>
      <c r="AA19" s="142" t="s">
        <v>161</v>
      </c>
      <c r="AB19" s="143">
        <v>0.25725601792339137</v>
      </c>
      <c r="AC19" s="29"/>
    </row>
    <row r="20" spans="1:29" ht="17.25" customHeight="1">
      <c r="A20" s="14">
        <f>'b（手動）計算用'!E23</f>
        <v>28</v>
      </c>
      <c r="B20" s="156">
        <f>'b（手動）計算用'!F23</f>
        <v>2085.1092011342921</v>
      </c>
      <c r="C20" s="26">
        <f xml:space="preserve"> '樹高計算 '!N139</f>
        <v>17.369926469612402</v>
      </c>
      <c r="D20" s="26">
        <f>'b（手動）計算用'!G23</f>
        <v>17.369926469612402</v>
      </c>
      <c r="E20" s="26">
        <f t="shared" si="13"/>
        <v>45.662995971949677</v>
      </c>
      <c r="F20" s="26">
        <f t="shared" si="0"/>
        <v>8.974153135363208</v>
      </c>
      <c r="G20" s="26">
        <f t="shared" si="1"/>
        <v>61.883798325577075</v>
      </c>
      <c r="H20" s="26">
        <f t="shared" si="14"/>
        <v>19.439233569944754</v>
      </c>
      <c r="I20" s="26">
        <f t="shared" si="2"/>
        <v>18.903751340169272</v>
      </c>
      <c r="J20" s="27">
        <f t="shared" si="15"/>
        <v>0.23528000711674527</v>
      </c>
      <c r="K20" s="155">
        <f t="shared" si="3"/>
        <v>2085.1092011342921</v>
      </c>
      <c r="L20" s="27">
        <f t="shared" si="4"/>
        <v>555.35468277166194</v>
      </c>
      <c r="M20" s="155">
        <f>'b（手動）計算用'!L23</f>
        <v>0</v>
      </c>
      <c r="N20" s="155">
        <f t="shared" si="5"/>
        <v>2085.1092011342921</v>
      </c>
      <c r="O20" s="26">
        <f t="shared" si="16"/>
        <v>45.662995971949677</v>
      </c>
      <c r="P20" s="26">
        <f t="shared" si="6"/>
        <v>8.974153135363208</v>
      </c>
      <c r="Q20" s="26">
        <f t="shared" si="17"/>
        <v>61.883798325577075</v>
      </c>
      <c r="R20" s="26">
        <f t="shared" si="18"/>
        <v>19.439233569944754</v>
      </c>
      <c r="S20" s="26">
        <f t="shared" si="7"/>
        <v>18.903751340169272</v>
      </c>
      <c r="T20" s="27">
        <f t="shared" si="8"/>
        <v>555.35468277166194</v>
      </c>
      <c r="U20" s="27">
        <f t="shared" si="9"/>
        <v>0</v>
      </c>
      <c r="V20" s="27">
        <f t="shared" si="10"/>
        <v>3052.8188068335617</v>
      </c>
      <c r="W20" s="27">
        <f t="shared" si="11"/>
        <v>621.66059102074735</v>
      </c>
      <c r="X20" s="15">
        <f t="shared" si="12"/>
        <v>0.89334066014991687</v>
      </c>
      <c r="Y20" s="15">
        <f t="shared" si="19"/>
        <v>0.89334066014991687</v>
      </c>
      <c r="AA20" s="165" t="s">
        <v>162</v>
      </c>
      <c r="AB20" s="166">
        <v>0.74274398207660863</v>
      </c>
    </row>
    <row r="21" spans="1:29" ht="17.25" customHeight="1">
      <c r="A21" s="14">
        <f>'b（手動）計算用'!E24</f>
        <v>29</v>
      </c>
      <c r="B21" s="156">
        <f>'b（手動）計算用'!F24</f>
        <v>2069.4781814832136</v>
      </c>
      <c r="C21" s="26">
        <f xml:space="preserve"> '樹高計算 '!N140</f>
        <v>17.829992315883583</v>
      </c>
      <c r="D21" s="26">
        <f>'b（手動）計算用'!G24</f>
        <v>17.829992315883583</v>
      </c>
      <c r="E21" s="26">
        <f t="shared" si="13"/>
        <v>45.491517687182231</v>
      </c>
      <c r="F21" s="26">
        <f t="shared" si="0"/>
        <v>9.1765158030148513</v>
      </c>
      <c r="G21" s="26">
        <f t="shared" si="1"/>
        <v>63.203551817953041</v>
      </c>
      <c r="H21" s="26">
        <f t="shared" si="14"/>
        <v>19.719476242593807</v>
      </c>
      <c r="I21" s="26">
        <f t="shared" si="2"/>
        <v>19.167968391684589</v>
      </c>
      <c r="J21" s="27">
        <f t="shared" si="15"/>
        <v>0.24598823702221345</v>
      </c>
      <c r="K21" s="155">
        <f t="shared" si="3"/>
        <v>2069.4781814832136</v>
      </c>
      <c r="L21" s="27">
        <f t="shared" si="4"/>
        <v>579.98839206411412</v>
      </c>
      <c r="M21" s="155">
        <f>'b（手動）計算用'!L24</f>
        <v>0</v>
      </c>
      <c r="N21" s="155">
        <f t="shared" si="5"/>
        <v>2069.4781814832136</v>
      </c>
      <c r="O21" s="26">
        <f t="shared" si="16"/>
        <v>45.491517687182231</v>
      </c>
      <c r="P21" s="26">
        <f t="shared" si="6"/>
        <v>9.1765158030148513</v>
      </c>
      <c r="Q21" s="26">
        <f t="shared" si="17"/>
        <v>63.203551817953041</v>
      </c>
      <c r="R21" s="26">
        <f t="shared" si="18"/>
        <v>19.719476242593807</v>
      </c>
      <c r="S21" s="26">
        <f t="shared" si="7"/>
        <v>19.167968391684589</v>
      </c>
      <c r="T21" s="27">
        <f t="shared" si="8"/>
        <v>579.98839206411412</v>
      </c>
      <c r="U21" s="27">
        <f t="shared" si="9"/>
        <v>0</v>
      </c>
      <c r="V21" s="27">
        <f t="shared" si="10"/>
        <v>2947.1761645183251</v>
      </c>
      <c r="W21" s="27">
        <f t="shared" si="11"/>
        <v>643.26877416814534</v>
      </c>
      <c r="X21" s="15">
        <f t="shared" si="12"/>
        <v>0.90162683990706161</v>
      </c>
      <c r="Y21" s="15">
        <f t="shared" si="19"/>
        <v>0.90162683990706161</v>
      </c>
      <c r="AA21" s="165" t="s">
        <v>163</v>
      </c>
      <c r="AB21" s="166">
        <f>AB5-AB3</f>
        <v>-1.34719415347974</v>
      </c>
    </row>
    <row r="22" spans="1:29" ht="17.25" customHeight="1">
      <c r="A22" s="14">
        <f>'b（手動）計算用'!E25</f>
        <v>30</v>
      </c>
      <c r="B22" s="156">
        <f>'b（手動）計算用'!F25</f>
        <v>2054.2742297248478</v>
      </c>
      <c r="C22" s="26">
        <f xml:space="preserve"> '樹高計算 '!N141</f>
        <v>18.278708131736447</v>
      </c>
      <c r="D22" s="26">
        <f>'b（手動）計算用'!G25</f>
        <v>18.278708131736447</v>
      </c>
      <c r="E22" s="26">
        <f t="shared" si="13"/>
        <v>45.324102084044071</v>
      </c>
      <c r="F22" s="26">
        <f t="shared" si="0"/>
        <v>9.3734133341456705</v>
      </c>
      <c r="G22" s="26">
        <f t="shared" si="1"/>
        <v>64.467870904695829</v>
      </c>
      <c r="H22" s="26">
        <f t="shared" si="14"/>
        <v>19.989296691635285</v>
      </c>
      <c r="I22" s="26">
        <f t="shared" si="2"/>
        <v>19.422304784112736</v>
      </c>
      <c r="J22" s="27">
        <f t="shared" si="15"/>
        <v>0.2565602392849492</v>
      </c>
      <c r="K22" s="155">
        <f t="shared" si="3"/>
        <v>2054.2742297248478</v>
      </c>
      <c r="L22" s="27">
        <f t="shared" si="4"/>
        <v>604.28400076205753</v>
      </c>
      <c r="M22" s="155">
        <f>'b（手動）計算用'!L25</f>
        <v>620</v>
      </c>
      <c r="N22" s="155">
        <f t="shared" si="5"/>
        <v>1434.2742297248478</v>
      </c>
      <c r="O22" s="26">
        <f t="shared" si="16"/>
        <v>37.871813129619866</v>
      </c>
      <c r="P22" s="26">
        <f t="shared" si="6"/>
        <v>8.9580961298164237</v>
      </c>
      <c r="Q22" s="26">
        <f t="shared" si="17"/>
        <v>59.1567992262761</v>
      </c>
      <c r="R22" s="26">
        <f t="shared" si="18"/>
        <v>22.916130963690609</v>
      </c>
      <c r="S22" s="26">
        <f t="shared" si="7"/>
        <v>22.434631252655976</v>
      </c>
      <c r="T22" s="27">
        <f t="shared" si="8"/>
        <v>529.93229420123112</v>
      </c>
      <c r="U22" s="27">
        <f t="shared" si="9"/>
        <v>74.351706560826415</v>
      </c>
      <c r="V22" s="27">
        <f t="shared" si="10"/>
        <v>2850.1257469564539</v>
      </c>
      <c r="W22" s="27">
        <f t="shared" si="11"/>
        <v>664.50948065150385</v>
      </c>
      <c r="X22" s="15">
        <f t="shared" si="12"/>
        <v>0.90936851671341157</v>
      </c>
      <c r="Y22" s="15">
        <f t="shared" si="19"/>
        <v>0.79747890681961453</v>
      </c>
      <c r="AA22" s="167" t="s">
        <v>164</v>
      </c>
      <c r="AB22" s="37">
        <f>AB20/AB19*(AB4/AB2)</f>
        <v>142872.82059004551</v>
      </c>
    </row>
    <row r="23" spans="1:29" ht="17.25" customHeight="1">
      <c r="A23" s="14">
        <f>'b（手動）計算用'!E26</f>
        <v>31</v>
      </c>
      <c r="B23" s="156">
        <f>'b（手動）計算用'!F26</f>
        <v>1434.2742297248478</v>
      </c>
      <c r="C23" s="26">
        <f xml:space="preserve"> '樹高計算 '!N142</f>
        <v>18.716254661483859</v>
      </c>
      <c r="D23" s="26">
        <f>'b（手動）計算用'!G26</f>
        <v>18.716254661483859</v>
      </c>
      <c r="E23" s="26">
        <f t="shared" si="13"/>
        <v>37.871813129619866</v>
      </c>
      <c r="F23" s="26">
        <f t="shared" si="0"/>
        <v>9.1490254143204375</v>
      </c>
      <c r="G23" s="26">
        <f t="shared" si="1"/>
        <v>60.514948837870968</v>
      </c>
      <c r="H23" s="26">
        <f t="shared" si="14"/>
        <v>23.17769784397365</v>
      </c>
      <c r="I23" s="26">
        <f t="shared" si="2"/>
        <v>22.681383906608374</v>
      </c>
      <c r="J23" s="27">
        <f t="shared" si="15"/>
        <v>0.26698734495906518</v>
      </c>
      <c r="K23" s="155">
        <f t="shared" si="3"/>
        <v>2039.4959120598244</v>
      </c>
      <c r="L23" s="27">
        <f t="shared" si="4"/>
        <v>553.65280486398251</v>
      </c>
      <c r="M23" s="155">
        <f>'b（手動）計算用'!L26</f>
        <v>0</v>
      </c>
      <c r="N23" s="155">
        <f t="shared" si="5"/>
        <v>1434.2742297248478</v>
      </c>
      <c r="O23" s="26">
        <f t="shared" si="16"/>
        <v>37.871813129619866</v>
      </c>
      <c r="P23" s="26">
        <f t="shared" si="6"/>
        <v>9.1490254143204375</v>
      </c>
      <c r="Q23" s="26">
        <f t="shared" si="17"/>
        <v>60.514948837870968</v>
      </c>
      <c r="R23" s="26">
        <f t="shared" si="18"/>
        <v>23.17769784397365</v>
      </c>
      <c r="S23" s="26">
        <f t="shared" si="7"/>
        <v>22.681383906608374</v>
      </c>
      <c r="T23" s="27">
        <f t="shared" si="8"/>
        <v>553.65280486398251</v>
      </c>
      <c r="U23" s="27">
        <f t="shared" si="9"/>
        <v>0</v>
      </c>
      <c r="V23" s="27">
        <f t="shared" si="10"/>
        <v>2760.7284638568349</v>
      </c>
      <c r="W23" s="27">
        <f t="shared" si="11"/>
        <v>685.37626259495448</v>
      </c>
      <c r="X23" s="15">
        <f t="shared" si="12"/>
        <v>0.80780854996021612</v>
      </c>
      <c r="Y23" s="15">
        <f t="shared" si="19"/>
        <v>0.80780854996021612</v>
      </c>
      <c r="AA23" s="144"/>
      <c r="AB23" s="37"/>
    </row>
    <row r="24" spans="1:29" ht="17.25" customHeight="1">
      <c r="A24" s="14">
        <f>'b（手動）計算用'!E27</f>
        <v>32</v>
      </c>
      <c r="B24" s="156">
        <f>'b（手動）計算用'!F27</f>
        <v>1434.2742297248478</v>
      </c>
      <c r="C24" s="26">
        <f xml:space="preserve"> '樹高計算 '!N143</f>
        <v>19.142818892220774</v>
      </c>
      <c r="D24" s="26">
        <f>'b（手動）計算用'!G27</f>
        <v>19.142818892220774</v>
      </c>
      <c r="E24" s="26">
        <f t="shared" si="13"/>
        <v>37.871813129619866</v>
      </c>
      <c r="F24" s="26">
        <f t="shared" si="0"/>
        <v>9.3351624256609682</v>
      </c>
      <c r="G24" s="26">
        <f t="shared" si="1"/>
        <v>61.820671519438029</v>
      </c>
      <c r="H24" s="26">
        <f t="shared" si="14"/>
        <v>23.426414363886874</v>
      </c>
      <c r="I24" s="26">
        <f t="shared" si="2"/>
        <v>22.915702954956895</v>
      </c>
      <c r="J24" s="27">
        <f t="shared" si="15"/>
        <v>0.27726214403746469</v>
      </c>
      <c r="K24" s="155">
        <f t="shared" si="3"/>
        <v>2025.1399867002756</v>
      </c>
      <c r="L24" s="27">
        <f t="shared" si="4"/>
        <v>577.10600989738703</v>
      </c>
      <c r="M24" s="155">
        <f>'b（手動）計算用'!L27</f>
        <v>0</v>
      </c>
      <c r="N24" s="155">
        <f t="shared" si="5"/>
        <v>1434.2742297248478</v>
      </c>
      <c r="O24" s="26">
        <f t="shared" si="16"/>
        <v>37.871813129619866</v>
      </c>
      <c r="P24" s="26">
        <f t="shared" si="6"/>
        <v>9.3351624256609682</v>
      </c>
      <c r="Q24" s="26">
        <f t="shared" si="17"/>
        <v>61.820671519438029</v>
      </c>
      <c r="R24" s="26">
        <f t="shared" si="18"/>
        <v>23.426414363886874</v>
      </c>
      <c r="S24" s="26">
        <f t="shared" si="7"/>
        <v>22.915702954956895</v>
      </c>
      <c r="T24" s="27">
        <f t="shared" si="8"/>
        <v>577.10600989738703</v>
      </c>
      <c r="U24" s="27">
        <f t="shared" si="9"/>
        <v>0</v>
      </c>
      <c r="V24" s="27">
        <f t="shared" si="10"/>
        <v>2678.1739297478925</v>
      </c>
      <c r="W24" s="27">
        <f t="shared" si="11"/>
        <v>705.86403524963589</v>
      </c>
      <c r="X24" s="15">
        <f t="shared" si="12"/>
        <v>0.81758806381640869</v>
      </c>
      <c r="Y24" s="15">
        <f t="shared" si="19"/>
        <v>0.81758806381640869</v>
      </c>
      <c r="AA24" s="209" t="str">
        <f>密度計算!A10</f>
        <v>K1</v>
      </c>
      <c r="AB24" s="208">
        <f>密度計算!B10</f>
        <v>-1.9701993369781323</v>
      </c>
    </row>
    <row r="25" spans="1:29">
      <c r="A25" s="14">
        <f>'b（手動）計算用'!E28</f>
        <v>33</v>
      </c>
      <c r="B25" s="156">
        <f>'b（手動）計算用'!F28</f>
        <v>1434.2742297248478</v>
      </c>
      <c r="C25" s="26">
        <f xml:space="preserve"> '樹高計算 '!N144</f>
        <v>19.558593363470184</v>
      </c>
      <c r="D25" s="26">
        <f>'b（手動）計算用'!G28</f>
        <v>19.558593363470184</v>
      </c>
      <c r="E25" s="26">
        <f t="shared" si="13"/>
        <v>37.871813129619866</v>
      </c>
      <c r="F25" s="26">
        <f t="shared" si="0"/>
        <v>9.5165911810358814</v>
      </c>
      <c r="G25" s="26">
        <f t="shared" si="1"/>
        <v>63.07616637001572</v>
      </c>
      <c r="H25" s="26">
        <f t="shared" si="14"/>
        <v>23.663098234998944</v>
      </c>
      <c r="I25" s="26">
        <f t="shared" si="2"/>
        <v>23.138394568573947</v>
      </c>
      <c r="J25" s="27">
        <f t="shared" si="15"/>
        <v>0.28737836761749197</v>
      </c>
      <c r="K25" s="155">
        <f t="shared" si="3"/>
        <v>2011.2017105939603</v>
      </c>
      <c r="L25" s="27">
        <f t="shared" si="4"/>
        <v>600.27008861044362</v>
      </c>
      <c r="M25" s="155">
        <f>'b（手動）計算用'!L28</f>
        <v>0</v>
      </c>
      <c r="N25" s="155">
        <f t="shared" si="5"/>
        <v>1434.2742297248478</v>
      </c>
      <c r="O25" s="26">
        <f t="shared" si="16"/>
        <v>37.871813129619866</v>
      </c>
      <c r="P25" s="26">
        <f t="shared" si="6"/>
        <v>9.5165911810358814</v>
      </c>
      <c r="Q25" s="26">
        <f t="shared" si="17"/>
        <v>63.07616637001572</v>
      </c>
      <c r="R25" s="26">
        <f t="shared" si="18"/>
        <v>23.663098234998944</v>
      </c>
      <c r="S25" s="26">
        <f t="shared" si="7"/>
        <v>23.138394568573947</v>
      </c>
      <c r="T25" s="27">
        <f t="shared" si="8"/>
        <v>600.27008861044362</v>
      </c>
      <c r="U25" s="27">
        <f t="shared" si="9"/>
        <v>0</v>
      </c>
      <c r="V25" s="27">
        <f t="shared" si="10"/>
        <v>2601.7593871456324</v>
      </c>
      <c r="W25" s="27">
        <f t="shared" si="11"/>
        <v>725.96897165808366</v>
      </c>
      <c r="X25" s="15">
        <f t="shared" si="12"/>
        <v>0.82685364257297544</v>
      </c>
      <c r="Y25" s="15">
        <f t="shared" si="19"/>
        <v>0.82685364257297544</v>
      </c>
      <c r="AA25" s="209" t="str">
        <f>密度計算!A11</f>
        <v>K1'</v>
      </c>
      <c r="AB25" s="208">
        <f>密度計算!B11</f>
        <v>-0.97019933697813232</v>
      </c>
    </row>
    <row r="26" spans="1:29">
      <c r="A26" s="14">
        <f>'b（手動）計算用'!E29</f>
        <v>34</v>
      </c>
      <c r="B26" s="156">
        <f>'b（手動）計算用'!F29</f>
        <v>1434.2742297248478</v>
      </c>
      <c r="C26" s="26">
        <f xml:space="preserve"> '樹高計算 '!N145</f>
        <v>19.963775477128916</v>
      </c>
      <c r="D26" s="26">
        <f>'b（手動）計算用'!G29</f>
        <v>19.963775477128916</v>
      </c>
      <c r="E26" s="26">
        <f t="shared" si="13"/>
        <v>37.871813129619866</v>
      </c>
      <c r="F26" s="26">
        <f t="shared" si="0"/>
        <v>9.6933978194049359</v>
      </c>
      <c r="G26" s="26">
        <f t="shared" si="1"/>
        <v>64.283558468747032</v>
      </c>
      <c r="H26" s="26">
        <f t="shared" si="14"/>
        <v>23.888501974266067</v>
      </c>
      <c r="I26" s="26">
        <f t="shared" si="2"/>
        <v>23.350200045834679</v>
      </c>
      <c r="J26" s="27">
        <f t="shared" si="15"/>
        <v>0.29733078125132401</v>
      </c>
      <c r="K26" s="155">
        <f t="shared" si="3"/>
        <v>1997.6751036696705</v>
      </c>
      <c r="L26" s="27">
        <f t="shared" si="4"/>
        <v>623.12610548454222</v>
      </c>
      <c r="M26" s="155">
        <f>'b（手動）計算用'!L29</f>
        <v>0</v>
      </c>
      <c r="N26" s="155">
        <f t="shared" si="5"/>
        <v>1434.2742297248478</v>
      </c>
      <c r="O26" s="26">
        <f t="shared" si="16"/>
        <v>37.871813129619866</v>
      </c>
      <c r="P26" s="26">
        <f t="shared" si="6"/>
        <v>9.6933978194049359</v>
      </c>
      <c r="Q26" s="26">
        <f t="shared" si="17"/>
        <v>64.283558468747032</v>
      </c>
      <c r="R26" s="26">
        <f t="shared" si="18"/>
        <v>23.888501974266067</v>
      </c>
      <c r="S26" s="26">
        <f t="shared" si="7"/>
        <v>23.350200045834679</v>
      </c>
      <c r="T26" s="27">
        <f t="shared" si="8"/>
        <v>623.12610548454222</v>
      </c>
      <c r="U26" s="27">
        <f t="shared" si="9"/>
        <v>0</v>
      </c>
      <c r="V26" s="27">
        <f t="shared" si="10"/>
        <v>2530.8726125482954</v>
      </c>
      <c r="W26" s="27">
        <f t="shared" si="11"/>
        <v>745.68840336172696</v>
      </c>
      <c r="X26" s="15">
        <f t="shared" si="12"/>
        <v>0.83563872346056745</v>
      </c>
      <c r="Y26" s="15">
        <f t="shared" si="19"/>
        <v>0.83563872346056745</v>
      </c>
      <c r="AA26" s="209" t="str">
        <f>密度計算!A12</f>
        <v>K5</v>
      </c>
      <c r="AB26" s="208">
        <f>密度計算!B12</f>
        <v>-5853278.3605415542</v>
      </c>
    </row>
    <row r="27" spans="1:29">
      <c r="A27" s="14">
        <f>'b（手動）計算用'!E30</f>
        <v>35</v>
      </c>
      <c r="B27" s="156">
        <f>'b（手動）計算用'!F30</f>
        <v>1434.2742297248478</v>
      </c>
      <c r="C27" s="26">
        <f xml:space="preserve"> '樹高計算 '!N146</f>
        <v>20.358566807421841</v>
      </c>
      <c r="D27" s="26">
        <f>'b（手動）計算用'!G30</f>
        <v>20.358566807421841</v>
      </c>
      <c r="E27" s="26">
        <f t="shared" si="13"/>
        <v>37.871813129619866</v>
      </c>
      <c r="F27" s="26">
        <f t="shared" si="0"/>
        <v>9.8656703003790867</v>
      </c>
      <c r="G27" s="26">
        <f t="shared" si="1"/>
        <v>65.444896081339607</v>
      </c>
      <c r="H27" s="26">
        <f t="shared" si="14"/>
        <v>24.103319239870537</v>
      </c>
      <c r="I27" s="26">
        <f t="shared" si="2"/>
        <v>23.551802123586025</v>
      </c>
      <c r="J27" s="27">
        <f t="shared" si="15"/>
        <v>0.30711508792734993</v>
      </c>
      <c r="K27" s="155">
        <f t="shared" si="3"/>
        <v>1984.5531765996327</v>
      </c>
      <c r="L27" s="27">
        <f t="shared" si="4"/>
        <v>645.6577675810679</v>
      </c>
      <c r="M27" s="155">
        <f>'b（手動）計算用'!L30</f>
        <v>0</v>
      </c>
      <c r="N27" s="155">
        <f t="shared" si="5"/>
        <v>1434.2742297248478</v>
      </c>
      <c r="O27" s="26">
        <f t="shared" si="16"/>
        <v>37.871813129619866</v>
      </c>
      <c r="P27" s="26">
        <f t="shared" si="6"/>
        <v>9.8656703003790867</v>
      </c>
      <c r="Q27" s="26">
        <f t="shared" si="17"/>
        <v>65.444896081339607</v>
      </c>
      <c r="R27" s="26">
        <f t="shared" si="18"/>
        <v>24.103319239870537</v>
      </c>
      <c r="S27" s="26">
        <f t="shared" si="7"/>
        <v>23.551802123586025</v>
      </c>
      <c r="T27" s="27">
        <f t="shared" si="8"/>
        <v>645.6577675810679</v>
      </c>
      <c r="U27" s="27">
        <f t="shared" si="9"/>
        <v>0</v>
      </c>
      <c r="V27" s="27">
        <f t="shared" si="10"/>
        <v>2464.9779595584341</v>
      </c>
      <c r="W27" s="27">
        <f t="shared" si="11"/>
        <v>765.02072630494592</v>
      </c>
      <c r="X27" s="15">
        <f t="shared" si="12"/>
        <v>0.84397421583543009</v>
      </c>
      <c r="Y27" s="15">
        <f t="shared" si="19"/>
        <v>0.84397421583543009</v>
      </c>
      <c r="AA27" s="209" t="str">
        <f>密度計算!A13</f>
        <v>K1+1</v>
      </c>
      <c r="AB27" s="208">
        <f>密度計算!B13</f>
        <v>-0.97019933697813232</v>
      </c>
    </row>
    <row r="28" spans="1:29">
      <c r="A28" s="14">
        <f>'b（手動）計算用'!E31</f>
        <v>36</v>
      </c>
      <c r="B28" s="156">
        <f>'b（手動）計算用'!F31</f>
        <v>1434.2742297248478</v>
      </c>
      <c r="C28" s="26">
        <f xml:space="preserve"> '樹高計算 '!N147</f>
        <v>20.743172413359066</v>
      </c>
      <c r="D28" s="26">
        <f>'b（手動）計算用'!G31</f>
        <v>20.743172413359066</v>
      </c>
      <c r="E28" s="26">
        <f t="shared" si="13"/>
        <v>37.871813129619866</v>
      </c>
      <c r="F28" s="26">
        <f t="shared" si="0"/>
        <v>10.033498104201959</v>
      </c>
      <c r="G28" s="26">
        <f t="shared" si="1"/>
        <v>66.562149285403507</v>
      </c>
      <c r="H28" s="26">
        <f t="shared" si="14"/>
        <v>24.308190437448015</v>
      </c>
      <c r="I28" s="26">
        <f t="shared" si="2"/>
        <v>23.74383056364524</v>
      </c>
      <c r="J28" s="27">
        <f t="shared" si="15"/>
        <v>0.31672783943203892</v>
      </c>
      <c r="K28" s="155">
        <f t="shared" si="3"/>
        <v>1971.8281271444434</v>
      </c>
      <c r="L28" s="27">
        <f t="shared" si="4"/>
        <v>667.85119866670391</v>
      </c>
      <c r="M28" s="155">
        <f>'b（手動）計算用'!L31</f>
        <v>0</v>
      </c>
      <c r="N28" s="155">
        <f t="shared" si="5"/>
        <v>1434.2742297248478</v>
      </c>
      <c r="O28" s="26">
        <f t="shared" si="16"/>
        <v>37.871813129619866</v>
      </c>
      <c r="P28" s="26">
        <f t="shared" si="6"/>
        <v>10.033498104201959</v>
      </c>
      <c r="Q28" s="26">
        <f t="shared" si="17"/>
        <v>66.562149285403507</v>
      </c>
      <c r="R28" s="26">
        <f t="shared" si="18"/>
        <v>24.308190437448015</v>
      </c>
      <c r="S28" s="26">
        <f t="shared" si="7"/>
        <v>23.74383056364524</v>
      </c>
      <c r="T28" s="27">
        <f t="shared" si="8"/>
        <v>667.85119866670391</v>
      </c>
      <c r="U28" s="27">
        <f t="shared" si="9"/>
        <v>0</v>
      </c>
      <c r="V28" s="27">
        <f t="shared" si="10"/>
        <v>2403.6048913751756</v>
      </c>
      <c r="W28" s="27">
        <f t="shared" si="11"/>
        <v>783.96531137012414</v>
      </c>
      <c r="X28" s="15">
        <f t="shared" si="12"/>
        <v>0.85188871112104514</v>
      </c>
      <c r="Y28" s="15">
        <f t="shared" si="19"/>
        <v>0.85188871112104514</v>
      </c>
    </row>
    <row r="29" spans="1:29">
      <c r="A29" s="14">
        <f>'b（手動）計算用'!E32</f>
        <v>37</v>
      </c>
      <c r="B29" s="156">
        <f>'b（手動）計算用'!F32</f>
        <v>1434.2742297248478</v>
      </c>
      <c r="C29" s="26">
        <f xml:space="preserve"> '樹高計算 '!N148</f>
        <v>21.117800158034136</v>
      </c>
      <c r="D29" s="26">
        <f>'b（手動）計算用'!G32</f>
        <v>21.117800158034136</v>
      </c>
      <c r="E29" s="26">
        <f t="shared" si="13"/>
        <v>37.871813129619866</v>
      </c>
      <c r="F29" s="26">
        <f t="shared" si="0"/>
        <v>10.196971934716522</v>
      </c>
      <c r="G29" s="26">
        <f t="shared" si="1"/>
        <v>67.637209671752714</v>
      </c>
      <c r="H29" s="26">
        <f t="shared" si="14"/>
        <v>24.503707690287555</v>
      </c>
      <c r="I29" s="26">
        <f t="shared" si="2"/>
        <v>23.926867107614676</v>
      </c>
      <c r="J29" s="27">
        <f t="shared" si="15"/>
        <v>0.32616635508997066</v>
      </c>
      <c r="K29" s="155">
        <f t="shared" si="3"/>
        <v>1959.4915093649884</v>
      </c>
      <c r="L29" s="27">
        <f t="shared" si="4"/>
        <v>689.69472876539942</v>
      </c>
      <c r="M29" s="155">
        <f>'b（手動）計算用'!L32</f>
        <v>0</v>
      </c>
      <c r="N29" s="155">
        <f t="shared" si="5"/>
        <v>1434.2742297248478</v>
      </c>
      <c r="O29" s="26">
        <f t="shared" si="16"/>
        <v>37.871813129619866</v>
      </c>
      <c r="P29" s="26">
        <f t="shared" si="6"/>
        <v>10.196971934716522</v>
      </c>
      <c r="Q29" s="26">
        <f t="shared" si="17"/>
        <v>67.637209671752714</v>
      </c>
      <c r="R29" s="26">
        <f t="shared" si="18"/>
        <v>24.503707690287555</v>
      </c>
      <c r="S29" s="26">
        <f t="shared" si="7"/>
        <v>23.926867107614676</v>
      </c>
      <c r="T29" s="27">
        <f t="shared" si="8"/>
        <v>689.69472876539942</v>
      </c>
      <c r="U29" s="27">
        <f t="shared" si="9"/>
        <v>0</v>
      </c>
      <c r="V29" s="27">
        <f t="shared" si="10"/>
        <v>2346.3385024498916</v>
      </c>
      <c r="W29" s="27">
        <f t="shared" si="11"/>
        <v>802.52241919130233</v>
      </c>
      <c r="X29" s="15">
        <f t="shared" si="12"/>
        <v>0.859408674788676</v>
      </c>
      <c r="Y29" s="15">
        <f t="shared" si="19"/>
        <v>0.859408674788676</v>
      </c>
      <c r="AA29" s="145" t="s">
        <v>178</v>
      </c>
      <c r="AB29" s="210">
        <f>IF(入力!C13=0,2500,入力!C13)</f>
        <v>2500</v>
      </c>
    </row>
    <row r="30" spans="1:29">
      <c r="A30" s="14">
        <f>'b（手動）計算用'!E33</f>
        <v>38</v>
      </c>
      <c r="B30" s="156">
        <f>'b（手動）計算用'!F33</f>
        <v>1434.2742297248478</v>
      </c>
      <c r="C30" s="26">
        <f xml:space="preserve"> '樹高計算 '!N149</f>
        <v>21.482660040158859</v>
      </c>
      <c r="D30" s="26">
        <f>'b（手動）計算用'!G33</f>
        <v>21.482660040158859</v>
      </c>
      <c r="E30" s="26">
        <f t="shared" si="13"/>
        <v>37.871813129619866</v>
      </c>
      <c r="F30" s="26">
        <f t="shared" si="0"/>
        <v>10.356183427671356</v>
      </c>
      <c r="G30" s="26">
        <f t="shared" si="1"/>
        <v>68.671890858227755</v>
      </c>
      <c r="H30" s="26">
        <f t="shared" si="14"/>
        <v>24.690419254885004</v>
      </c>
      <c r="I30" s="26">
        <f t="shared" si="2"/>
        <v>24.101449880652151</v>
      </c>
      <c r="J30" s="27">
        <f t="shared" si="15"/>
        <v>0.3354286470792941</v>
      </c>
      <c r="K30" s="155">
        <f t="shared" si="3"/>
        <v>1947.5343793337991</v>
      </c>
      <c r="L30" s="27">
        <f t="shared" si="4"/>
        <v>711.17869805283431</v>
      </c>
      <c r="M30" s="155">
        <f>'b（手動）計算用'!L33</f>
        <v>0</v>
      </c>
      <c r="N30" s="155">
        <f t="shared" si="5"/>
        <v>1434.2742297248478</v>
      </c>
      <c r="O30" s="26">
        <f t="shared" si="16"/>
        <v>37.871813129619866</v>
      </c>
      <c r="P30" s="26">
        <f t="shared" si="6"/>
        <v>10.356183427671356</v>
      </c>
      <c r="Q30" s="26">
        <f t="shared" si="17"/>
        <v>68.671890858227755</v>
      </c>
      <c r="R30" s="26">
        <f t="shared" si="18"/>
        <v>24.690419254885004</v>
      </c>
      <c r="S30" s="26">
        <f t="shared" si="7"/>
        <v>24.101449880652151</v>
      </c>
      <c r="T30" s="27">
        <f t="shared" si="8"/>
        <v>711.17869805283431</v>
      </c>
      <c r="U30" s="27">
        <f t="shared" si="9"/>
        <v>0</v>
      </c>
      <c r="V30" s="27">
        <f t="shared" si="10"/>
        <v>2292.8116400738322</v>
      </c>
      <c r="W30" s="27">
        <f t="shared" si="11"/>
        <v>820.69311904935478</v>
      </c>
      <c r="X30" s="15">
        <f t="shared" si="12"/>
        <v>0.86655862166436115</v>
      </c>
      <c r="Y30" s="15">
        <f t="shared" si="19"/>
        <v>0.86655862166436115</v>
      </c>
    </row>
    <row r="31" spans="1:29">
      <c r="A31" s="14">
        <f>'b（手動）計算用'!E34</f>
        <v>39</v>
      </c>
      <c r="B31" s="156">
        <f>'b（手動）計算用'!F34</f>
        <v>1434.2742297248478</v>
      </c>
      <c r="C31" s="26">
        <f xml:space="preserve"> '樹高計算 '!N150</f>
        <v>21.837963543650535</v>
      </c>
      <c r="D31" s="26">
        <f>'b（手動）計算用'!G34</f>
        <v>21.837963543650535</v>
      </c>
      <c r="E31" s="26">
        <f t="shared" si="13"/>
        <v>37.871813129619866</v>
      </c>
      <c r="F31" s="26">
        <f t="shared" si="0"/>
        <v>10.511224866904337</v>
      </c>
      <c r="G31" s="26">
        <f t="shared" si="1"/>
        <v>69.667929613504199</v>
      </c>
      <c r="H31" s="26">
        <f t="shared" si="14"/>
        <v>24.86883345247745</v>
      </c>
      <c r="I31" s="26">
        <f t="shared" si="2"/>
        <v>24.268077314147764</v>
      </c>
      <c r="J31" s="27">
        <f t="shared" si="15"/>
        <v>0.34451335167749697</v>
      </c>
      <c r="K31" s="155">
        <f t="shared" si="3"/>
        <v>1935.9474204362002</v>
      </c>
      <c r="L31" s="27">
        <f t="shared" si="4"/>
        <v>732.29527417920644</v>
      </c>
      <c r="M31" s="155">
        <f>'b（手動）計算用'!L34</f>
        <v>0</v>
      </c>
      <c r="N31" s="155">
        <f t="shared" si="5"/>
        <v>1434.2742297248478</v>
      </c>
      <c r="O31" s="26">
        <f t="shared" si="16"/>
        <v>37.871813129619866</v>
      </c>
      <c r="P31" s="26">
        <f t="shared" si="6"/>
        <v>10.511224866904337</v>
      </c>
      <c r="Q31" s="26">
        <f t="shared" si="17"/>
        <v>69.667929613504199</v>
      </c>
      <c r="R31" s="26">
        <f t="shared" si="18"/>
        <v>24.86883345247745</v>
      </c>
      <c r="S31" s="26">
        <f t="shared" si="7"/>
        <v>24.268077314147764</v>
      </c>
      <c r="T31" s="27">
        <f t="shared" si="8"/>
        <v>732.29527417920644</v>
      </c>
      <c r="U31" s="27">
        <f t="shared" si="9"/>
        <v>0</v>
      </c>
      <c r="V31" s="27">
        <f t="shared" si="10"/>
        <v>2242.6983208366955</v>
      </c>
      <c r="W31" s="27">
        <f t="shared" si="11"/>
        <v>838.47921175842509</v>
      </c>
      <c r="X31" s="15">
        <f t="shared" si="12"/>
        <v>0.87336127587882117</v>
      </c>
      <c r="Y31" s="15">
        <f t="shared" si="19"/>
        <v>0.87336127587882117</v>
      </c>
    </row>
    <row r="32" spans="1:29">
      <c r="A32" s="14">
        <f>'b（手動）計算用'!E35</f>
        <v>40</v>
      </c>
      <c r="B32" s="156">
        <f>'b（手動）計算用'!F35</f>
        <v>1434.2742297248478</v>
      </c>
      <c r="C32" s="26">
        <f xml:space="preserve"> '樹高計算 '!N151</f>
        <v>22.183923011010634</v>
      </c>
      <c r="D32" s="26">
        <f>'b（手動）計算用'!G35</f>
        <v>22.183923011010634</v>
      </c>
      <c r="E32" s="26">
        <f t="shared" si="13"/>
        <v>37.871813129619866</v>
      </c>
      <c r="F32" s="26">
        <f t="shared" si="0"/>
        <v>10.662188910908034</v>
      </c>
      <c r="G32" s="26">
        <f t="shared" si="1"/>
        <v>70.626987434965415</v>
      </c>
      <c r="H32" s="26">
        <f t="shared" si="14"/>
        <v>25.039422177757871</v>
      </c>
      <c r="I32" s="26">
        <f t="shared" si="2"/>
        <v>24.427211647899032</v>
      </c>
      <c r="J32" s="27">
        <f t="shared" si="15"/>
        <v>0.3534196659145481</v>
      </c>
      <c r="K32" s="155">
        <f t="shared" si="3"/>
        <v>1924.7210509017389</v>
      </c>
      <c r="L32" s="27">
        <f t="shared" si="4"/>
        <v>753.03828223992923</v>
      </c>
      <c r="M32" s="155">
        <f>'b（手動）計算用'!L35</f>
        <v>290</v>
      </c>
      <c r="N32" s="155">
        <f t="shared" si="5"/>
        <v>1144.2742297248478</v>
      </c>
      <c r="O32" s="26">
        <f t="shared" si="16"/>
        <v>33.82712269355536</v>
      </c>
      <c r="P32" s="26">
        <f t="shared" si="6"/>
        <v>10.388618970813656</v>
      </c>
      <c r="Q32" s="26">
        <f t="shared" si="17"/>
        <v>66.635154565696084</v>
      </c>
      <c r="R32" s="26">
        <f t="shared" si="18"/>
        <v>27.229627822631951</v>
      </c>
      <c r="S32" s="26">
        <f t="shared" si="7"/>
        <v>26.671856385794619</v>
      </c>
      <c r="T32" s="27">
        <f t="shared" si="8"/>
        <v>692.24723084429058</v>
      </c>
      <c r="U32" s="27">
        <f t="shared" si="9"/>
        <v>60.791051395638647</v>
      </c>
      <c r="V32" s="27">
        <f t="shared" si="10"/>
        <v>2195.7082012398473</v>
      </c>
      <c r="W32" s="27">
        <f t="shared" si="11"/>
        <v>855.88315652054439</v>
      </c>
      <c r="X32" s="15">
        <f t="shared" si="12"/>
        <v>0.87983771675246591</v>
      </c>
      <c r="Y32" s="15">
        <f t="shared" si="19"/>
        <v>0.80881043816601161</v>
      </c>
    </row>
    <row r="33" spans="1:25">
      <c r="A33" s="14">
        <f>'b（手動）計算用'!E36</f>
        <v>41</v>
      </c>
      <c r="B33" s="156">
        <f>'b（手動）計算用'!F36</f>
        <v>1144.2742297248478</v>
      </c>
      <c r="C33" s="26">
        <f xml:space="preserve"> '樹高計算 '!N152</f>
        <v>22.520751045788124</v>
      </c>
      <c r="D33" s="26">
        <f>'b（手動）計算用'!G36</f>
        <v>22.520751045788124</v>
      </c>
      <c r="E33" s="26">
        <f t="shared" si="13"/>
        <v>33.82712269355536</v>
      </c>
      <c r="F33" s="26">
        <f t="shared" si="0"/>
        <v>10.531444662047761</v>
      </c>
      <c r="G33" s="26">
        <f t="shared" si="1"/>
        <v>67.58121810814248</v>
      </c>
      <c r="H33" s="26">
        <f t="shared" si="14"/>
        <v>27.42224510817114</v>
      </c>
      <c r="I33" s="26">
        <f t="shared" si="2"/>
        <v>26.854196241330715</v>
      </c>
      <c r="J33" s="27">
        <f t="shared" si="15"/>
        <v>0.36214728920328848</v>
      </c>
      <c r="K33" s="155">
        <f t="shared" si="3"/>
        <v>1913.8455158331576</v>
      </c>
      <c r="L33" s="27">
        <f t="shared" si="4"/>
        <v>711.72785869968254</v>
      </c>
      <c r="M33" s="155">
        <f>'b（手動）計算用'!L36</f>
        <v>0</v>
      </c>
      <c r="N33" s="155">
        <f t="shared" si="5"/>
        <v>1144.2742297248478</v>
      </c>
      <c r="O33" s="26">
        <f t="shared" si="16"/>
        <v>33.82712269355536</v>
      </c>
      <c r="P33" s="26">
        <f t="shared" si="6"/>
        <v>10.531444662047761</v>
      </c>
      <c r="Q33" s="26">
        <f t="shared" si="17"/>
        <v>67.58121810814248</v>
      </c>
      <c r="R33" s="26">
        <f t="shared" si="18"/>
        <v>27.42224510817114</v>
      </c>
      <c r="S33" s="26">
        <f t="shared" si="7"/>
        <v>26.854196241330715</v>
      </c>
      <c r="T33" s="27">
        <f t="shared" si="8"/>
        <v>711.72785869968254</v>
      </c>
      <c r="U33" s="27">
        <f t="shared" si="9"/>
        <v>0</v>
      </c>
      <c r="V33" s="27">
        <f t="shared" si="10"/>
        <v>2151.5819113034704</v>
      </c>
      <c r="W33" s="27">
        <f t="shared" si="11"/>
        <v>872.90800176106518</v>
      </c>
      <c r="X33" s="15">
        <f t="shared" si="12"/>
        <v>0.81535265716867455</v>
      </c>
      <c r="Y33" s="15">
        <f t="shared" si="19"/>
        <v>0.81535265716867455</v>
      </c>
    </row>
    <row r="34" spans="1:25">
      <c r="A34" s="14">
        <f>'b（手動）計算用'!E37</f>
        <v>42</v>
      </c>
      <c r="B34" s="156">
        <f>'b（手動）計算用'!F37</f>
        <v>1144.2742297248478</v>
      </c>
      <c r="C34" s="26">
        <f xml:space="preserve"> '樹高計算 '!N153</f>
        <v>22.848659948719757</v>
      </c>
      <c r="D34" s="26">
        <f>'b（手動）計算用'!G37</f>
        <v>22.848659948719757</v>
      </c>
      <c r="E34" s="26">
        <f t="shared" si="13"/>
        <v>33.82712269355536</v>
      </c>
      <c r="F34" s="26">
        <f t="shared" ref="F34:F65" si="20">$AB$11+$AB$12*D34+$AB$13*E34*D34/100</f>
        <v>10.670488360574716</v>
      </c>
      <c r="G34" s="26">
        <f t="shared" ref="G34:G65" si="21">L34/F34</f>
        <v>68.493781404577376</v>
      </c>
      <c r="H34" s="26">
        <f t="shared" si="14"/>
        <v>27.606768432878955</v>
      </c>
      <c r="I34" s="26">
        <f t="shared" ref="I34:I65" si="22">$AB$15+$AB$16*H34+$AB$17*E34*D34/100</f>
        <v>27.028735675627612</v>
      </c>
      <c r="J34" s="27">
        <f t="shared" si="15"/>
        <v>0.37069636958601443</v>
      </c>
      <c r="K34" s="155">
        <f t="shared" ref="K34:K65" si="23">1/(1/$AB$29-J34/($AB$26*$AB$29^$AB$27))</f>
        <v>1903.3109656898844</v>
      </c>
      <c r="L34" s="27">
        <f t="shared" ref="L34:L65" si="24">($AB$2*D34^$AB$3+$AB$4*D34^$AB$5/B34)^-1</f>
        <v>730.86209724929176</v>
      </c>
      <c r="M34" s="155">
        <f>'b（手動）計算用'!L37</f>
        <v>0</v>
      </c>
      <c r="N34" s="155">
        <f t="shared" ref="N34:N65" si="25">B34-M34</f>
        <v>1144.2742297248478</v>
      </c>
      <c r="O34" s="26">
        <f t="shared" si="16"/>
        <v>33.82712269355536</v>
      </c>
      <c r="P34" s="26">
        <f t="shared" ref="P34:P65" si="26">$AB$11+$AB$12*D34+$AB$13*O34*D34/100</f>
        <v>10.670488360574716</v>
      </c>
      <c r="Q34" s="26">
        <f t="shared" si="17"/>
        <v>68.493781404577376</v>
      </c>
      <c r="R34" s="26">
        <f t="shared" si="18"/>
        <v>27.606768432878955</v>
      </c>
      <c r="S34" s="26">
        <f t="shared" ref="S34:S65" si="27">$AB$15+$AB$16*R34+$AB$17*O34*D34/100</f>
        <v>27.028735675627612</v>
      </c>
      <c r="T34" s="27">
        <f t="shared" ref="T34:T65" si="28">($AB$2*D34^$AB$3+$AB$4*D34^$AB$5/N34)^-1</f>
        <v>730.86209724929176</v>
      </c>
      <c r="U34" s="27">
        <f t="shared" ref="U34:U65" si="29">L34-T34</f>
        <v>0</v>
      </c>
      <c r="V34" s="27">
        <f t="shared" ref="V34:V65" si="30">$AB$22*D34^$AB$21</f>
        <v>2110.0870984393314</v>
      </c>
      <c r="W34" s="27">
        <f t="shared" ref="W34:W65" si="31">($AB$2*D34^$AB$3+$AB$4*D34^$AB$5/V34)^-1</f>
        <v>889.55731996908821</v>
      </c>
      <c r="X34" s="15">
        <f t="shared" ref="X34:X65" si="32">L34/W34</f>
        <v>0.82160202703372609</v>
      </c>
      <c r="Y34" s="15">
        <f t="shared" si="19"/>
        <v>0.82160202703372609</v>
      </c>
    </row>
    <row r="35" spans="1:25">
      <c r="A35" s="14">
        <f>'b（手動）計算用'!E38</f>
        <v>43</v>
      </c>
      <c r="B35" s="156">
        <f>'b（手動）計算用'!F38</f>
        <v>1144.2742297248478</v>
      </c>
      <c r="C35" s="26">
        <f xml:space="preserve"> '樹高計算 '!N154</f>
        <v>23.167861191282384</v>
      </c>
      <c r="D35" s="26">
        <f>'b（手動）計算用'!G38</f>
        <v>23.167861191282384</v>
      </c>
      <c r="E35" s="26">
        <f t="shared" si="13"/>
        <v>33.82712269355536</v>
      </c>
      <c r="F35" s="26">
        <f t="shared" si="20"/>
        <v>10.805839736958539</v>
      </c>
      <c r="G35" s="26">
        <f t="shared" si="21"/>
        <v>69.374179747069817</v>
      </c>
      <c r="H35" s="26">
        <f t="shared" si="14"/>
        <v>27.78362645194683</v>
      </c>
      <c r="I35" s="26">
        <f t="shared" si="22"/>
        <v>27.195894691971205</v>
      </c>
      <c r="J35" s="27">
        <f t="shared" si="15"/>
        <v>0.3790674542865205</v>
      </c>
      <c r="K35" s="155">
        <f t="shared" si="23"/>
        <v>1893.1075229241142</v>
      </c>
      <c r="L35" s="27">
        <f t="shared" si="24"/>
        <v>749.6462682297913</v>
      </c>
      <c r="M35" s="155">
        <f>'b（手動）計算用'!L38</f>
        <v>0</v>
      </c>
      <c r="N35" s="155">
        <f t="shared" si="25"/>
        <v>1144.2742297248478</v>
      </c>
      <c r="O35" s="26">
        <f t="shared" si="16"/>
        <v>33.82712269355536</v>
      </c>
      <c r="P35" s="26">
        <f t="shared" si="26"/>
        <v>10.805839736958539</v>
      </c>
      <c r="Q35" s="26">
        <f t="shared" si="17"/>
        <v>69.374179747069817</v>
      </c>
      <c r="R35" s="26">
        <f t="shared" si="18"/>
        <v>27.78362645194683</v>
      </c>
      <c r="S35" s="26">
        <f t="shared" si="27"/>
        <v>27.195894691971205</v>
      </c>
      <c r="T35" s="27">
        <f t="shared" si="28"/>
        <v>749.6462682297913</v>
      </c>
      <c r="U35" s="27">
        <f t="shared" si="29"/>
        <v>0</v>
      </c>
      <c r="V35" s="27">
        <f t="shared" si="30"/>
        <v>2071.0150588641682</v>
      </c>
      <c r="W35" s="27">
        <f t="shared" si="31"/>
        <v>905.83514656108605</v>
      </c>
      <c r="X35" s="15">
        <f t="shared" si="32"/>
        <v>0.82757472049494829</v>
      </c>
      <c r="Y35" s="15">
        <f t="shared" si="19"/>
        <v>0.82757472049494829</v>
      </c>
    </row>
    <row r="36" spans="1:25">
      <c r="A36" s="14">
        <f>'b（手動）計算用'!E39</f>
        <v>44</v>
      </c>
      <c r="B36" s="156">
        <f>'b（手動）計算用'!F39</f>
        <v>1144.2742297248478</v>
      </c>
      <c r="C36" s="26">
        <f xml:space="preserve"> '樹高計算 '!N155</f>
        <v>23.478564929459516</v>
      </c>
      <c r="D36" s="26">
        <f>'b（手動）計算用'!G39</f>
        <v>23.478564929459516</v>
      </c>
      <c r="E36" s="26">
        <f t="shared" si="13"/>
        <v>33.82712269355536</v>
      </c>
      <c r="F36" s="26">
        <f t="shared" si="20"/>
        <v>10.937587903952672</v>
      </c>
      <c r="G36" s="26">
        <f t="shared" si="21"/>
        <v>70.223696209818726</v>
      </c>
      <c r="H36" s="26">
        <f t="shared" si="14"/>
        <v>27.953220031800939</v>
      </c>
      <c r="I36" s="26">
        <f t="shared" si="22"/>
        <v>27.356065738259741</v>
      </c>
      <c r="J36" s="27">
        <f t="shared" si="15"/>
        <v>0.38726144429276865</v>
      </c>
      <c r="K36" s="155">
        <f t="shared" si="23"/>
        <v>1883.2253382503186</v>
      </c>
      <c r="L36" s="27">
        <f t="shared" si="24"/>
        <v>768.0778502353603</v>
      </c>
      <c r="M36" s="155">
        <f>'b（手動）計算用'!L39</f>
        <v>0</v>
      </c>
      <c r="N36" s="155">
        <f t="shared" si="25"/>
        <v>1144.2742297248478</v>
      </c>
      <c r="O36" s="26">
        <f t="shared" si="16"/>
        <v>33.82712269355536</v>
      </c>
      <c r="P36" s="26">
        <f t="shared" si="26"/>
        <v>10.937587903952672</v>
      </c>
      <c r="Q36" s="26">
        <f t="shared" si="17"/>
        <v>70.223696209818726</v>
      </c>
      <c r="R36" s="26">
        <f t="shared" si="18"/>
        <v>27.953220031800939</v>
      </c>
      <c r="S36" s="26">
        <f t="shared" si="27"/>
        <v>27.356065738259741</v>
      </c>
      <c r="T36" s="27">
        <f t="shared" si="28"/>
        <v>768.0778502353603</v>
      </c>
      <c r="U36" s="27">
        <f t="shared" si="29"/>
        <v>0</v>
      </c>
      <c r="V36" s="27">
        <f t="shared" si="30"/>
        <v>2034.1778573975062</v>
      </c>
      <c r="W36" s="27">
        <f t="shared" si="31"/>
        <v>921.74592276792293</v>
      </c>
      <c r="X36" s="15">
        <f t="shared" si="32"/>
        <v>0.83328586681337224</v>
      </c>
      <c r="Y36" s="15">
        <f t="shared" si="19"/>
        <v>0.83328586681337224</v>
      </c>
    </row>
    <row r="37" spans="1:25">
      <c r="A37" s="14">
        <f>'b（手動）計算用'!E40</f>
        <v>45</v>
      </c>
      <c r="B37" s="156">
        <f>'b（手動）計算用'!F40</f>
        <v>1144.2742297248478</v>
      </c>
      <c r="C37" s="26">
        <f xml:space="preserve"> '樹高計算 '!N156</f>
        <v>23.780979559582203</v>
      </c>
      <c r="D37" s="26">
        <f>'b（手動）計算用'!G40</f>
        <v>23.780979559582203</v>
      </c>
      <c r="E37" s="26">
        <f t="shared" si="13"/>
        <v>33.82712269355536</v>
      </c>
      <c r="F37" s="26">
        <f t="shared" si="20"/>
        <v>11.065821228162491</v>
      </c>
      <c r="G37" s="26">
        <f t="shared" si="21"/>
        <v>71.043562523325136</v>
      </c>
      <c r="H37" s="26">
        <f t="shared" si="14"/>
        <v>28.115924363377076</v>
      </c>
      <c r="I37" s="26">
        <f t="shared" si="22"/>
        <v>27.509615816911396</v>
      </c>
      <c r="J37" s="27">
        <f t="shared" si="15"/>
        <v>0.39527955272051657</v>
      </c>
      <c r="K37" s="155">
        <f t="shared" si="23"/>
        <v>1873.6546378454477</v>
      </c>
      <c r="L37" s="27">
        <f t="shared" si="24"/>
        <v>786.15536229490056</v>
      </c>
      <c r="M37" s="155">
        <f>'b（手動）計算用'!L40</f>
        <v>0</v>
      </c>
      <c r="N37" s="155">
        <f t="shared" si="25"/>
        <v>1144.2742297248478</v>
      </c>
      <c r="O37" s="26">
        <f t="shared" si="16"/>
        <v>33.82712269355536</v>
      </c>
      <c r="P37" s="26">
        <f t="shared" si="26"/>
        <v>11.065821228162491</v>
      </c>
      <c r="Q37" s="26">
        <f t="shared" si="17"/>
        <v>71.043562523325136</v>
      </c>
      <c r="R37" s="26">
        <f t="shared" si="18"/>
        <v>28.115924363377076</v>
      </c>
      <c r="S37" s="26">
        <f t="shared" si="27"/>
        <v>27.509615816911396</v>
      </c>
      <c r="T37" s="27">
        <f t="shared" si="28"/>
        <v>786.15536229490056</v>
      </c>
      <c r="U37" s="27">
        <f t="shared" si="29"/>
        <v>0</v>
      </c>
      <c r="V37" s="27">
        <f t="shared" si="30"/>
        <v>1999.4058551113224</v>
      </c>
      <c r="W37" s="27">
        <f t="shared" si="31"/>
        <v>937.29444252017811</v>
      </c>
      <c r="X37" s="15">
        <f t="shared" si="32"/>
        <v>0.83874962512431217</v>
      </c>
      <c r="Y37" s="15">
        <f t="shared" si="19"/>
        <v>0.83874962512431217</v>
      </c>
    </row>
    <row r="38" spans="1:25">
      <c r="A38" s="14">
        <f>'b（手動）計算用'!E41</f>
        <v>46</v>
      </c>
      <c r="B38" s="156">
        <f>'b（手動）計算用'!F41</f>
        <v>1144.2742297248478</v>
      </c>
      <c r="C38" s="26">
        <f xml:space="preserve"> '樹高計算 '!N157</f>
        <v>24.075311317201503</v>
      </c>
      <c r="D38" s="26">
        <f>'b（手動）計算用'!G41</f>
        <v>24.075311317201503</v>
      </c>
      <c r="E38" s="26">
        <f t="shared" si="13"/>
        <v>33.82712269355536</v>
      </c>
      <c r="F38" s="26">
        <f t="shared" si="20"/>
        <v>11.190627159954648</v>
      </c>
      <c r="G38" s="26">
        <f t="shared" si="21"/>
        <v>71.834960162695339</v>
      </c>
      <c r="H38" s="26">
        <f t="shared" si="14"/>
        <v>28.272090887221879</v>
      </c>
      <c r="I38" s="26">
        <f t="shared" si="22"/>
        <v>27.656888406806015</v>
      </c>
      <c r="J38" s="27">
        <f t="shared" si="15"/>
        <v>0.40312326672569809</v>
      </c>
      <c r="K38" s="155">
        <f t="shared" si="23"/>
        <v>1864.3857626207534</v>
      </c>
      <c r="L38" s="27">
        <f t="shared" si="24"/>
        <v>803.87825623091862</v>
      </c>
      <c r="M38" s="155">
        <f>'b（手動）計算用'!L41</f>
        <v>0</v>
      </c>
      <c r="N38" s="155">
        <f t="shared" si="25"/>
        <v>1144.2742297248478</v>
      </c>
      <c r="O38" s="26">
        <f t="shared" si="16"/>
        <v>33.82712269355536</v>
      </c>
      <c r="P38" s="26">
        <f t="shared" si="26"/>
        <v>11.190627159954648</v>
      </c>
      <c r="Q38" s="26">
        <f t="shared" si="17"/>
        <v>71.834960162695339</v>
      </c>
      <c r="R38" s="26">
        <f t="shared" si="18"/>
        <v>28.272090887221879</v>
      </c>
      <c r="S38" s="26">
        <f t="shared" si="27"/>
        <v>27.656888406806015</v>
      </c>
      <c r="T38" s="27">
        <f t="shared" si="28"/>
        <v>803.87825623091862</v>
      </c>
      <c r="U38" s="27">
        <f t="shared" si="29"/>
        <v>0</v>
      </c>
      <c r="V38" s="27">
        <f t="shared" si="30"/>
        <v>1966.5455790975175</v>
      </c>
      <c r="W38" s="27">
        <f t="shared" si="31"/>
        <v>952.48580327783122</v>
      </c>
      <c r="X38" s="15">
        <f t="shared" si="32"/>
        <v>0.84397925246181837</v>
      </c>
      <c r="Y38" s="15">
        <f t="shared" si="19"/>
        <v>0.84397925246181837</v>
      </c>
    </row>
    <row r="39" spans="1:25">
      <c r="A39" s="14">
        <f>'b（手動）計算用'!E42</f>
        <v>47</v>
      </c>
      <c r="B39" s="156">
        <f>'b（手動）計算用'!F42</f>
        <v>1144.2742297248478</v>
      </c>
      <c r="C39" s="26">
        <f xml:space="preserve"> '樹高計算 '!N158</f>
        <v>24.361763919122062</v>
      </c>
      <c r="D39" s="26">
        <f>'b（手動）計算用'!G42</f>
        <v>24.361763919122062</v>
      </c>
      <c r="E39" s="26">
        <f t="shared" si="13"/>
        <v>33.82712269355536</v>
      </c>
      <c r="F39" s="26">
        <f t="shared" si="20"/>
        <v>11.312092081668004</v>
      </c>
      <c r="G39" s="26">
        <f t="shared" si="21"/>
        <v>72.599021603080843</v>
      </c>
      <c r="H39" s="26">
        <f t="shared" si="14"/>
        <v>28.42204905064699</v>
      </c>
      <c r="I39" s="26">
        <f t="shared" si="22"/>
        <v>27.798205217339628</v>
      </c>
      <c r="J39" s="27">
        <f t="shared" si="15"/>
        <v>0.41079431274553913</v>
      </c>
      <c r="K39" s="155">
        <f t="shared" si="23"/>
        <v>1855.4092005717732</v>
      </c>
      <c r="L39" s="27">
        <f t="shared" si="24"/>
        <v>821.24681741305517</v>
      </c>
      <c r="M39" s="155">
        <f>'b（手動）計算用'!L42</f>
        <v>0</v>
      </c>
      <c r="N39" s="155">
        <f t="shared" si="25"/>
        <v>1144.2742297248478</v>
      </c>
      <c r="O39" s="26">
        <f t="shared" si="16"/>
        <v>33.82712269355536</v>
      </c>
      <c r="P39" s="26">
        <f t="shared" si="26"/>
        <v>11.312092081668004</v>
      </c>
      <c r="Q39" s="26">
        <f t="shared" si="17"/>
        <v>72.599021603080843</v>
      </c>
      <c r="R39" s="26">
        <f t="shared" si="18"/>
        <v>28.42204905064699</v>
      </c>
      <c r="S39" s="26">
        <f t="shared" si="27"/>
        <v>27.798205217339628</v>
      </c>
      <c r="T39" s="27">
        <f t="shared" si="28"/>
        <v>821.24681741305517</v>
      </c>
      <c r="U39" s="27">
        <f t="shared" si="29"/>
        <v>0</v>
      </c>
      <c r="V39" s="27">
        <f t="shared" si="30"/>
        <v>1935.4578804407847</v>
      </c>
      <c r="W39" s="27">
        <f t="shared" si="31"/>
        <v>967.32536072086327</v>
      </c>
      <c r="X39" s="15">
        <f t="shared" si="32"/>
        <v>0.84898716684224174</v>
      </c>
      <c r="Y39" s="15">
        <f t="shared" si="19"/>
        <v>0.84898716684224174</v>
      </c>
    </row>
    <row r="40" spans="1:25">
      <c r="A40" s="14">
        <f>'b（手動）計算用'!E43</f>
        <v>48</v>
      </c>
      <c r="B40" s="156">
        <f>'b（手動）計算用'!F43</f>
        <v>1144.2742297248478</v>
      </c>
      <c r="C40" s="26">
        <f xml:space="preserve"> '樹高計算 '!N159</f>
        <v>24.64053824799684</v>
      </c>
      <c r="D40" s="26">
        <f>'b（手動）計算用'!G43</f>
        <v>24.64053824799684</v>
      </c>
      <c r="E40" s="26">
        <f t="shared" si="13"/>
        <v>33.82712269355536</v>
      </c>
      <c r="F40" s="26">
        <f t="shared" si="20"/>
        <v>11.430301173871884</v>
      </c>
      <c r="G40" s="26">
        <f t="shared" si="21"/>
        <v>73.336831702959159</v>
      </c>
      <c r="H40" s="26">
        <f t="shared" si="14"/>
        <v>28.566107914568068</v>
      </c>
      <c r="I40" s="26">
        <f t="shared" si="22"/>
        <v>27.933867792113471</v>
      </c>
      <c r="J40" s="27">
        <f t="shared" si="15"/>
        <v>0.4182946248572213</v>
      </c>
      <c r="K40" s="155">
        <f t="shared" si="23"/>
        <v>1846.7156130965525</v>
      </c>
      <c r="L40" s="27">
        <f t="shared" si="24"/>
        <v>838.26207350237883</v>
      </c>
      <c r="M40" s="155">
        <f>'b（手動）計算用'!L43</f>
        <v>0</v>
      </c>
      <c r="N40" s="155">
        <f t="shared" si="25"/>
        <v>1144.2742297248478</v>
      </c>
      <c r="O40" s="26">
        <f t="shared" si="16"/>
        <v>33.82712269355536</v>
      </c>
      <c r="P40" s="26">
        <f t="shared" si="26"/>
        <v>11.430301173871884</v>
      </c>
      <c r="Q40" s="26">
        <f t="shared" si="17"/>
        <v>73.336831702959159</v>
      </c>
      <c r="R40" s="26">
        <f t="shared" si="18"/>
        <v>28.566107914568068</v>
      </c>
      <c r="S40" s="26">
        <f t="shared" si="27"/>
        <v>27.933867792113471</v>
      </c>
      <c r="T40" s="27">
        <f t="shared" si="28"/>
        <v>838.26207350237883</v>
      </c>
      <c r="U40" s="27">
        <f t="shared" si="29"/>
        <v>0</v>
      </c>
      <c r="V40" s="27">
        <f t="shared" si="30"/>
        <v>1906.0163359761223</v>
      </c>
      <c r="W40" s="27">
        <f t="shared" si="31"/>
        <v>981.8186871893364</v>
      </c>
      <c r="X40" s="15">
        <f t="shared" si="32"/>
        <v>0.85378500576525107</v>
      </c>
      <c r="Y40" s="15">
        <f t="shared" si="19"/>
        <v>0.85378500576525107</v>
      </c>
    </row>
    <row r="41" spans="1:25">
      <c r="A41" s="14">
        <f>'b（手動）計算用'!E44</f>
        <v>49</v>
      </c>
      <c r="B41" s="156">
        <f>'b（手動）計算用'!F44</f>
        <v>1144.2742297248478</v>
      </c>
      <c r="C41" s="26">
        <f xml:space="preserve"> '樹高計算 '!N160</f>
        <v>24.911832078263824</v>
      </c>
      <c r="D41" s="26">
        <f>'b（手動）計算用'!G44</f>
        <v>24.911832078263824</v>
      </c>
      <c r="E41" s="26">
        <f t="shared" si="13"/>
        <v>33.82712269355536</v>
      </c>
      <c r="F41" s="26">
        <f t="shared" si="20"/>
        <v>11.545338299154603</v>
      </c>
      <c r="G41" s="26">
        <f t="shared" si="21"/>
        <v>74.049429182295867</v>
      </c>
      <c r="H41" s="26">
        <f t="shared" si="14"/>
        <v>28.704557625426048</v>
      </c>
      <c r="I41" s="26">
        <f t="shared" si="22"/>
        <v>28.064158977577119</v>
      </c>
      <c r="J41" s="27">
        <f t="shared" si="15"/>
        <v>0.4256263160497904</v>
      </c>
      <c r="K41" s="155">
        <f t="shared" si="23"/>
        <v>1838.2958560703667</v>
      </c>
      <c r="L41" s="27">
        <f t="shared" si="24"/>
        <v>854.92571076889703</v>
      </c>
      <c r="M41" s="155">
        <f>'b（手動）計算用'!L44</f>
        <v>0</v>
      </c>
      <c r="N41" s="155">
        <f t="shared" si="25"/>
        <v>1144.2742297248478</v>
      </c>
      <c r="O41" s="26">
        <f t="shared" si="16"/>
        <v>33.82712269355536</v>
      </c>
      <c r="P41" s="26">
        <f t="shared" si="26"/>
        <v>11.545338299154603</v>
      </c>
      <c r="Q41" s="26">
        <f t="shared" si="17"/>
        <v>74.049429182295867</v>
      </c>
      <c r="R41" s="26">
        <f t="shared" si="18"/>
        <v>28.704557625426048</v>
      </c>
      <c r="S41" s="26">
        <f t="shared" si="27"/>
        <v>28.064158977577119</v>
      </c>
      <c r="T41" s="27">
        <f t="shared" si="28"/>
        <v>854.92571076889703</v>
      </c>
      <c r="U41" s="27">
        <f t="shared" si="29"/>
        <v>0</v>
      </c>
      <c r="V41" s="27">
        <f t="shared" si="30"/>
        <v>1878.1058570682103</v>
      </c>
      <c r="W41" s="27">
        <f t="shared" si="31"/>
        <v>995.97153373646449</v>
      </c>
      <c r="X41" s="15">
        <f t="shared" si="32"/>
        <v>0.85838368046682711</v>
      </c>
      <c r="Y41" s="15">
        <f t="shared" si="19"/>
        <v>0.85838368046682711</v>
      </c>
    </row>
    <row r="42" spans="1:25">
      <c r="A42" s="14">
        <f>'b（手動）計算用'!E45</f>
        <v>50</v>
      </c>
      <c r="B42" s="156">
        <f>'b（手動）計算用'!F45</f>
        <v>1144.2742297248478</v>
      </c>
      <c r="C42" s="26">
        <f xml:space="preserve"> '樹高計算 '!N161</f>
        <v>25.175839841701567</v>
      </c>
      <c r="D42" s="26">
        <f>'b（手動）計算用'!G45</f>
        <v>25.175839841701567</v>
      </c>
      <c r="E42" s="26">
        <f t="shared" si="13"/>
        <v>33.82712269355536</v>
      </c>
      <c r="F42" s="26">
        <f t="shared" si="20"/>
        <v>11.657285902711637</v>
      </c>
      <c r="G42" s="26">
        <f t="shared" si="21"/>
        <v>74.737808167892851</v>
      </c>
      <c r="H42" s="26">
        <f t="shared" si="14"/>
        <v>28.837670765667085</v>
      </c>
      <c r="I42" s="26">
        <f t="shared" si="22"/>
        <v>28.189344270051308</v>
      </c>
      <c r="J42" s="27">
        <f t="shared" si="15"/>
        <v>0.43279165221100319</v>
      </c>
      <c r="K42" s="155">
        <f t="shared" si="23"/>
        <v>1830.1409963754991</v>
      </c>
      <c r="L42" s="27">
        <f t="shared" si="24"/>
        <v>871.23999755514399</v>
      </c>
      <c r="M42" s="155">
        <f>'b（手動）計算用'!L45</f>
        <v>0</v>
      </c>
      <c r="N42" s="155">
        <f t="shared" si="25"/>
        <v>1144.2742297248478</v>
      </c>
      <c r="O42" s="26">
        <f t="shared" si="16"/>
        <v>33.82712269355536</v>
      </c>
      <c r="P42" s="26">
        <f t="shared" si="26"/>
        <v>11.657285902711637</v>
      </c>
      <c r="Q42" s="26">
        <f t="shared" si="17"/>
        <v>74.737808167892851</v>
      </c>
      <c r="R42" s="26">
        <f t="shared" si="18"/>
        <v>28.837670765667085</v>
      </c>
      <c r="S42" s="26">
        <f t="shared" si="27"/>
        <v>28.189344270051308</v>
      </c>
      <c r="T42" s="27">
        <f t="shared" si="28"/>
        <v>871.23999755514399</v>
      </c>
      <c r="U42" s="27">
        <f t="shared" si="29"/>
        <v>0</v>
      </c>
      <c r="V42" s="27">
        <f t="shared" si="30"/>
        <v>1851.6214748571686</v>
      </c>
      <c r="W42" s="27">
        <f t="shared" si="31"/>
        <v>1009.7897956370492</v>
      </c>
      <c r="X42" s="15">
        <f t="shared" si="32"/>
        <v>0.86279342623531075</v>
      </c>
      <c r="Y42" s="15">
        <f t="shared" si="19"/>
        <v>0.86279342623531075</v>
      </c>
    </row>
    <row r="43" spans="1:25">
      <c r="A43" s="14">
        <f>'b（手動）計算用'!E46</f>
        <v>51</v>
      </c>
      <c r="B43" s="156">
        <f>'b（手動）計算用'!F46</f>
        <v>1144.2742297248478</v>
      </c>
      <c r="C43" s="26">
        <f xml:space="preserve"> '樹高計算 '!N162</f>
        <v>25.432752430488847</v>
      </c>
      <c r="D43" s="26">
        <f>'b（手動）計算用'!G46</f>
        <v>25.432752430488847</v>
      </c>
      <c r="E43" s="26">
        <f t="shared" si="13"/>
        <v>33.82712269355536</v>
      </c>
      <c r="F43" s="26">
        <f t="shared" si="20"/>
        <v>11.766224928836722</v>
      </c>
      <c r="G43" s="26">
        <f t="shared" si="21"/>
        <v>75.402919782648169</v>
      </c>
      <c r="H43" s="26">
        <f t="shared" si="14"/>
        <v>28.965703594607806</v>
      </c>
      <c r="I43" s="26">
        <f t="shared" si="22"/>
        <v>28.309673052928513</v>
      </c>
      <c r="J43" s="27">
        <f t="shared" si="15"/>
        <v>0.43979302863660791</v>
      </c>
      <c r="K43" s="155">
        <f t="shared" si="23"/>
        <v>1822.2423245051439</v>
      </c>
      <c r="L43" s="27">
        <f t="shared" si="24"/>
        <v>887.20771445367052</v>
      </c>
      <c r="M43" s="155">
        <f>'b（手動）計算用'!L46</f>
        <v>0</v>
      </c>
      <c r="N43" s="155">
        <f t="shared" si="25"/>
        <v>1144.2742297248478</v>
      </c>
      <c r="O43" s="26">
        <f t="shared" si="16"/>
        <v>33.82712269355536</v>
      </c>
      <c r="P43" s="26">
        <f t="shared" si="26"/>
        <v>11.766224928836722</v>
      </c>
      <c r="Q43" s="26">
        <f t="shared" si="17"/>
        <v>75.402919782648169</v>
      </c>
      <c r="R43" s="26">
        <f t="shared" si="18"/>
        <v>28.965703594607806</v>
      </c>
      <c r="S43" s="26">
        <f t="shared" si="27"/>
        <v>28.309673052928513</v>
      </c>
      <c r="T43" s="27">
        <f t="shared" si="28"/>
        <v>887.20771445367052</v>
      </c>
      <c r="U43" s="27">
        <f t="shared" si="29"/>
        <v>0</v>
      </c>
      <c r="V43" s="27">
        <f t="shared" si="30"/>
        <v>1826.4672764694114</v>
      </c>
      <c r="W43" s="27">
        <f t="shared" si="31"/>
        <v>1023.2794811768557</v>
      </c>
      <c r="X43" s="15">
        <f t="shared" si="32"/>
        <v>0.86702384907914753</v>
      </c>
      <c r="Y43" s="15">
        <f t="shared" si="19"/>
        <v>0.86702384907914753</v>
      </c>
    </row>
    <row r="44" spans="1:25">
      <c r="A44" s="14">
        <f>'b（手動）計算用'!E47</f>
        <v>52</v>
      </c>
      <c r="B44" s="156">
        <f>'b（手動）計算用'!F47</f>
        <v>1144.2742297248478</v>
      </c>
      <c r="C44" s="26">
        <f xml:space="preserve"> '樹高計算 '!N163</f>
        <v>25.682757035368347</v>
      </c>
      <c r="D44" s="26">
        <f>'b（手動）計算用'!G47</f>
        <v>25.682757035368347</v>
      </c>
      <c r="E44" s="26">
        <f t="shared" si="13"/>
        <v>33.82712269355536</v>
      </c>
      <c r="F44" s="26">
        <f t="shared" si="20"/>
        <v>11.872234752298157</v>
      </c>
      <c r="G44" s="26">
        <f t="shared" si="21"/>
        <v>76.045673759193491</v>
      </c>
      <c r="H44" s="26">
        <f t="shared" si="14"/>
        <v>29.088897190096251</v>
      </c>
      <c r="I44" s="26">
        <f t="shared" si="22"/>
        <v>28.425379734450601</v>
      </c>
      <c r="J44" s="27">
        <f t="shared" si="15"/>
        <v>0.44663294887561061</v>
      </c>
      <c r="K44" s="155">
        <f t="shared" si="23"/>
        <v>1814.5913637896699</v>
      </c>
      <c r="L44" s="27">
        <f t="shared" si="24"/>
        <v>902.832090765825</v>
      </c>
      <c r="M44" s="155">
        <f>'b（手動）計算用'!L47</f>
        <v>0</v>
      </c>
      <c r="N44" s="155">
        <f t="shared" si="25"/>
        <v>1144.2742297248478</v>
      </c>
      <c r="O44" s="26">
        <f t="shared" si="16"/>
        <v>33.82712269355536</v>
      </c>
      <c r="P44" s="26">
        <f t="shared" si="26"/>
        <v>11.872234752298157</v>
      </c>
      <c r="Q44" s="26">
        <f t="shared" si="17"/>
        <v>76.045673759193491</v>
      </c>
      <c r="R44" s="26">
        <f t="shared" si="18"/>
        <v>29.088897190096251</v>
      </c>
      <c r="S44" s="26">
        <f t="shared" si="27"/>
        <v>28.425379734450601</v>
      </c>
      <c r="T44" s="27">
        <f t="shared" si="28"/>
        <v>902.832090765825</v>
      </c>
      <c r="U44" s="27">
        <f t="shared" si="29"/>
        <v>0</v>
      </c>
      <c r="V44" s="27">
        <f t="shared" si="30"/>
        <v>1802.5554708253433</v>
      </c>
      <c r="W44" s="27">
        <f t="shared" si="31"/>
        <v>1036.4466835361266</v>
      </c>
      <c r="X44" s="15">
        <f t="shared" si="32"/>
        <v>0.87108396901378649</v>
      </c>
      <c r="Y44" s="15">
        <f t="shared" si="19"/>
        <v>0.87108396901378649</v>
      </c>
    </row>
    <row r="45" spans="1:25">
      <c r="A45" s="14">
        <f>'b（手動）計算用'!E48</f>
        <v>53</v>
      </c>
      <c r="B45" s="156">
        <f>'b（手動）計算用'!F48</f>
        <v>1144.2742297248478</v>
      </c>
      <c r="C45" s="26">
        <f xml:space="preserve"> '樹高計算 '!N164</f>
        <v>25.926037016324717</v>
      </c>
      <c r="D45" s="26">
        <f>'b（手動）計算用'!G48</f>
        <v>25.926037016324717</v>
      </c>
      <c r="E45" s="26">
        <f t="shared" si="13"/>
        <v>33.82712269355536</v>
      </c>
      <c r="F45" s="26">
        <f t="shared" si="20"/>
        <v>11.975393123502226</v>
      </c>
      <c r="G45" s="26">
        <f t="shared" si="21"/>
        <v>76.666940061570926</v>
      </c>
      <c r="H45" s="26">
        <f t="shared" si="14"/>
        <v>29.207478500163202</v>
      </c>
      <c r="I45" s="26">
        <f t="shared" si="22"/>
        <v>28.536684795261003</v>
      </c>
      <c r="J45" s="27">
        <f t="shared" si="15"/>
        <v>0.45331400573165953</v>
      </c>
      <c r="K45" s="155">
        <f t="shared" si="23"/>
        <v>1807.1798767301277</v>
      </c>
      <c r="L45" s="27">
        <f t="shared" si="24"/>
        <v>918.11674681329373</v>
      </c>
      <c r="M45" s="155">
        <f>'b（手動）計算用'!L48</f>
        <v>0</v>
      </c>
      <c r="N45" s="155">
        <f t="shared" si="25"/>
        <v>1144.2742297248478</v>
      </c>
      <c r="O45" s="26">
        <f t="shared" si="16"/>
        <v>33.82712269355536</v>
      </c>
      <c r="P45" s="26">
        <f t="shared" si="26"/>
        <v>11.975393123502226</v>
      </c>
      <c r="Q45" s="26">
        <f t="shared" si="17"/>
        <v>76.666940061570926</v>
      </c>
      <c r="R45" s="26">
        <f t="shared" si="18"/>
        <v>29.207478500163202</v>
      </c>
      <c r="S45" s="26">
        <f t="shared" si="27"/>
        <v>28.536684795261003</v>
      </c>
      <c r="T45" s="27">
        <f t="shared" si="28"/>
        <v>918.11674681329373</v>
      </c>
      <c r="U45" s="27">
        <f t="shared" si="29"/>
        <v>0</v>
      </c>
      <c r="V45" s="27">
        <f t="shared" si="30"/>
        <v>1779.8055660696839</v>
      </c>
      <c r="W45" s="27">
        <f t="shared" si="31"/>
        <v>1049.2975555724402</v>
      </c>
      <c r="X45" s="15">
        <f t="shared" si="32"/>
        <v>0.87498226021542458</v>
      </c>
      <c r="Y45" s="15">
        <f t="shared" si="19"/>
        <v>0.87498226021542458</v>
      </c>
    </row>
    <row r="46" spans="1:25">
      <c r="A46" s="14">
        <f>'b（手動）計算用'!E49</f>
        <v>54</v>
      </c>
      <c r="B46" s="156">
        <f>'b（手動）計算用'!F49</f>
        <v>1144.2742297248478</v>
      </c>
      <c r="C46" s="26">
        <f xml:space="preserve"> '樹高計算 '!N165</f>
        <v>26.162771803082592</v>
      </c>
      <c r="D46" s="26">
        <f>'b（手動）計算用'!G49</f>
        <v>26.162771803082592</v>
      </c>
      <c r="E46" s="26">
        <f t="shared" si="13"/>
        <v>33.82712269355536</v>
      </c>
      <c r="F46" s="26">
        <f t="shared" si="20"/>
        <v>12.075776126301228</v>
      </c>
      <c r="G46" s="26">
        <f t="shared" si="21"/>
        <v>77.267550501349689</v>
      </c>
      <c r="H46" s="26">
        <f t="shared" si="14"/>
        <v>29.321661312812751</v>
      </c>
      <c r="I46" s="26">
        <f t="shared" si="22"/>
        <v>28.643795753893226</v>
      </c>
      <c r="J46" s="27">
        <f t="shared" si="15"/>
        <v>0.45983886424785586</v>
      </c>
      <c r="K46" s="155">
        <f t="shared" si="23"/>
        <v>1799.9998688671092</v>
      </c>
      <c r="L46" s="27">
        <f t="shared" si="24"/>
        <v>933.06564168197315</v>
      </c>
      <c r="M46" s="155">
        <f>'b（手動）計算用'!L49</f>
        <v>0</v>
      </c>
      <c r="N46" s="155">
        <f t="shared" si="25"/>
        <v>1144.2742297248478</v>
      </c>
      <c r="O46" s="26">
        <f t="shared" si="16"/>
        <v>33.82712269355536</v>
      </c>
      <c r="P46" s="26">
        <f t="shared" si="26"/>
        <v>12.075776126301228</v>
      </c>
      <c r="Q46" s="26">
        <f t="shared" si="17"/>
        <v>77.267550501349689</v>
      </c>
      <c r="R46" s="26">
        <f t="shared" si="18"/>
        <v>29.321661312812751</v>
      </c>
      <c r="S46" s="26">
        <f t="shared" si="27"/>
        <v>28.643795753893226</v>
      </c>
      <c r="T46" s="27">
        <f t="shared" si="28"/>
        <v>933.06564168197315</v>
      </c>
      <c r="U46" s="27">
        <f t="shared" si="29"/>
        <v>0</v>
      </c>
      <c r="V46" s="27">
        <f t="shared" si="30"/>
        <v>1758.1436434486977</v>
      </c>
      <c r="W46" s="27">
        <f t="shared" si="31"/>
        <v>1061.8382873040182</v>
      </c>
      <c r="X46" s="15">
        <f t="shared" si="32"/>
        <v>0.87872668827096478</v>
      </c>
      <c r="Y46" s="15">
        <f t="shared" si="19"/>
        <v>0.87872668827096478</v>
      </c>
    </row>
    <row r="47" spans="1:25">
      <c r="A47" s="14">
        <f>'b（手動）計算用'!E50</f>
        <v>55</v>
      </c>
      <c r="B47" s="156">
        <f>'b（手動）計算用'!F50</f>
        <v>1144.2742297248478</v>
      </c>
      <c r="C47" s="26">
        <f xml:space="preserve"> '樹高計算 '!N166</f>
        <v>26.393136822696903</v>
      </c>
      <c r="D47" s="26">
        <f>'b（手動）計算用'!G50</f>
        <v>26.393136822696903</v>
      </c>
      <c r="E47" s="26">
        <f t="shared" si="13"/>
        <v>33.82712269355536</v>
      </c>
      <c r="F47" s="26">
        <f t="shared" si="20"/>
        <v>12.173458147289498</v>
      </c>
      <c r="G47" s="26">
        <f t="shared" si="21"/>
        <v>77.848300336948682</v>
      </c>
      <c r="H47" s="26">
        <f t="shared" si="14"/>
        <v>29.431647151201268</v>
      </c>
      <c r="I47" s="26">
        <f t="shared" si="22"/>
        <v>28.746908057465127</v>
      </c>
      <c r="J47" s="27">
        <f t="shared" si="15"/>
        <v>0.46621024651008891</v>
      </c>
      <c r="K47" s="155">
        <f t="shared" si="23"/>
        <v>1793.0435905621105</v>
      </c>
      <c r="L47" s="27">
        <f t="shared" si="24"/>
        <v>947.68302598946764</v>
      </c>
      <c r="M47" s="155">
        <f>'b（手動）計算用'!L50</f>
        <v>230</v>
      </c>
      <c r="N47" s="155">
        <f t="shared" si="25"/>
        <v>914.27422972484783</v>
      </c>
      <c r="O47" s="26">
        <f t="shared" si="16"/>
        <v>30.236967932066996</v>
      </c>
      <c r="P47" s="26">
        <f t="shared" si="26"/>
        <v>11.884557232368422</v>
      </c>
      <c r="Q47" s="26">
        <f t="shared" si="17"/>
        <v>73.378481844070294</v>
      </c>
      <c r="R47" s="26">
        <f t="shared" si="18"/>
        <v>31.966948479353221</v>
      </c>
      <c r="S47" s="26">
        <f t="shared" si="27"/>
        <v>31.338110019029251</v>
      </c>
      <c r="T47" s="27">
        <f t="shared" si="28"/>
        <v>872.07076710016054</v>
      </c>
      <c r="U47" s="27">
        <f t="shared" si="29"/>
        <v>75.6122588893071</v>
      </c>
      <c r="V47" s="27">
        <f t="shared" si="30"/>
        <v>1737.5017147752221</v>
      </c>
      <c r="W47" s="27">
        <f t="shared" si="31"/>
        <v>1074.0750858941053</v>
      </c>
      <c r="X47" s="15">
        <f t="shared" si="32"/>
        <v>0.88232474473660882</v>
      </c>
      <c r="Y47" s="15">
        <f t="shared" si="19"/>
        <v>0.81192719070865715</v>
      </c>
    </row>
    <row r="48" spans="1:25">
      <c r="A48" s="14">
        <f>'b（手動）計算用'!E51</f>
        <v>56</v>
      </c>
      <c r="B48" s="156">
        <f>'b（手動）計算用'!F51</f>
        <v>914.27422972484783</v>
      </c>
      <c r="C48" s="26">
        <f xml:space="preserve"> '樹高計算 '!N167</f>
        <v>26.617303451534312</v>
      </c>
      <c r="D48" s="26">
        <f>'b（手動）計算用'!G51</f>
        <v>26.617303451534312</v>
      </c>
      <c r="E48" s="26">
        <f t="shared" si="13"/>
        <v>30.236967932066996</v>
      </c>
      <c r="F48" s="26">
        <f t="shared" si="20"/>
        <v>11.977157198678837</v>
      </c>
      <c r="G48" s="26">
        <f t="shared" si="21"/>
        <v>73.953084180516683</v>
      </c>
      <c r="H48" s="26">
        <f t="shared" si="14"/>
        <v>32.091865648260729</v>
      </c>
      <c r="I48" s="26">
        <f t="shared" si="22"/>
        <v>31.456839417259982</v>
      </c>
      <c r="J48" s="27">
        <f t="shared" si="15"/>
        <v>0.47243091811232818</v>
      </c>
      <c r="K48" s="155">
        <f t="shared" si="23"/>
        <v>1786.303537022781</v>
      </c>
      <c r="L48" s="27">
        <f t="shared" si="24"/>
        <v>885.74771455717746</v>
      </c>
      <c r="M48" s="155">
        <f>'b（手動）計算用'!L51</f>
        <v>0</v>
      </c>
      <c r="N48" s="155">
        <f t="shared" si="25"/>
        <v>914.27422972484783</v>
      </c>
      <c r="O48" s="26">
        <f t="shared" si="16"/>
        <v>30.236967932066996</v>
      </c>
      <c r="P48" s="26">
        <f t="shared" si="26"/>
        <v>11.977157198678837</v>
      </c>
      <c r="Q48" s="26">
        <f t="shared" si="17"/>
        <v>73.953084180516683</v>
      </c>
      <c r="R48" s="26">
        <f t="shared" si="18"/>
        <v>32.091865648260729</v>
      </c>
      <c r="S48" s="26">
        <f t="shared" si="27"/>
        <v>31.456839417259982</v>
      </c>
      <c r="T48" s="27">
        <f t="shared" si="28"/>
        <v>885.74771455717746</v>
      </c>
      <c r="U48" s="27">
        <f t="shared" si="29"/>
        <v>0</v>
      </c>
      <c r="V48" s="27">
        <f t="shared" si="30"/>
        <v>1717.8171525474156</v>
      </c>
      <c r="W48" s="27">
        <f t="shared" si="31"/>
        <v>1086.0141579395729</v>
      </c>
      <c r="X48" s="15">
        <f t="shared" si="32"/>
        <v>0.81559499761738974</v>
      </c>
      <c r="Y48" s="15">
        <f t="shared" si="19"/>
        <v>0.81559499761738974</v>
      </c>
    </row>
    <row r="49" spans="1:25">
      <c r="A49" s="14">
        <f>'b（手動）計算用'!E52</f>
        <v>57</v>
      </c>
      <c r="B49" s="156">
        <f>'b（手動）計算用'!F52</f>
        <v>914.27422972484783</v>
      </c>
      <c r="C49" s="26">
        <f xml:space="preserve"> '樹高計算 '!N168</f>
        <v>26.835438989018716</v>
      </c>
      <c r="D49" s="26">
        <f>'b（手動）計算用'!G52</f>
        <v>26.835438989018716</v>
      </c>
      <c r="E49" s="26">
        <f t="shared" si="13"/>
        <v>30.236967932066996</v>
      </c>
      <c r="F49" s="26">
        <f t="shared" si="20"/>
        <v>12.067265809076911</v>
      </c>
      <c r="G49" s="26">
        <f t="shared" si="21"/>
        <v>74.509295406157818</v>
      </c>
      <c r="H49" s="26">
        <f t="shared" si="14"/>
        <v>32.212323225844791</v>
      </c>
      <c r="I49" s="26">
        <f t="shared" si="22"/>
        <v>31.571283556232814</v>
      </c>
      <c r="J49" s="27">
        <f t="shared" si="15"/>
        <v>0.4785036761360319</v>
      </c>
      <c r="K49" s="155">
        <f t="shared" si="23"/>
        <v>1779.7724468624328</v>
      </c>
      <c r="L49" s="27">
        <f t="shared" si="24"/>
        <v>899.12347291313961</v>
      </c>
      <c r="M49" s="155">
        <f>'b（手動）計算用'!L52</f>
        <v>0</v>
      </c>
      <c r="N49" s="155">
        <f t="shared" si="25"/>
        <v>914.27422972484783</v>
      </c>
      <c r="O49" s="26">
        <f t="shared" si="16"/>
        <v>30.236967932066996</v>
      </c>
      <c r="P49" s="26">
        <f t="shared" si="26"/>
        <v>12.067265809076911</v>
      </c>
      <c r="Q49" s="26">
        <f t="shared" si="17"/>
        <v>74.509295406157818</v>
      </c>
      <c r="R49" s="26">
        <f t="shared" si="18"/>
        <v>32.212323225844791</v>
      </c>
      <c r="S49" s="26">
        <f t="shared" si="27"/>
        <v>31.571283556232814</v>
      </c>
      <c r="T49" s="27">
        <f t="shared" si="28"/>
        <v>899.12347291313961</v>
      </c>
      <c r="U49" s="27">
        <f t="shared" si="29"/>
        <v>0</v>
      </c>
      <c r="V49" s="27">
        <f t="shared" si="30"/>
        <v>1699.0321833928547</v>
      </c>
      <c r="W49" s="27">
        <f t="shared" si="31"/>
        <v>1097.6616938719212</v>
      </c>
      <c r="X49" s="15">
        <f t="shared" si="32"/>
        <v>0.81912621888220172</v>
      </c>
      <c r="Y49" s="15">
        <f t="shared" si="19"/>
        <v>0.81912621888220172</v>
      </c>
    </row>
    <row r="50" spans="1:25">
      <c r="A50" s="14">
        <f>'b（手動）計算用'!E53</f>
        <v>58</v>
      </c>
      <c r="B50" s="156">
        <f>'b（手動）計算用'!F53</f>
        <v>914.27422972484783</v>
      </c>
      <c r="C50" s="26">
        <f xml:space="preserve"> '樹高計算 '!N169</f>
        <v>27.047706650624068</v>
      </c>
      <c r="D50" s="26">
        <f>'b（手動）計算用'!G53</f>
        <v>27.047706650624068</v>
      </c>
      <c r="E50" s="26">
        <f t="shared" si="13"/>
        <v>30.236967932066996</v>
      </c>
      <c r="F50" s="26">
        <f t="shared" si="20"/>
        <v>12.154950485495467</v>
      </c>
      <c r="G50" s="26">
        <f t="shared" si="21"/>
        <v>75.047783626870185</v>
      </c>
      <c r="H50" s="26">
        <f t="shared" si="14"/>
        <v>32.328514963422144</v>
      </c>
      <c r="I50" s="26">
        <f t="shared" si="22"/>
        <v>31.68163094721513</v>
      </c>
      <c r="J50" s="27">
        <f t="shared" si="15"/>
        <v>0.48443133850486031</v>
      </c>
      <c r="K50" s="155">
        <f t="shared" si="23"/>
        <v>1773.4432994474071</v>
      </c>
      <c r="L50" s="27">
        <f t="shared" si="24"/>
        <v>912.20209403078456</v>
      </c>
      <c r="M50" s="155">
        <f>'b（手動）計算用'!L53</f>
        <v>0</v>
      </c>
      <c r="N50" s="155">
        <f t="shared" si="25"/>
        <v>914.27422972484783</v>
      </c>
      <c r="O50" s="26">
        <f t="shared" si="16"/>
        <v>30.236967932066996</v>
      </c>
      <c r="P50" s="26">
        <f t="shared" si="26"/>
        <v>12.154950485495467</v>
      </c>
      <c r="Q50" s="26">
        <f t="shared" si="17"/>
        <v>75.047783626870185</v>
      </c>
      <c r="R50" s="26">
        <f t="shared" si="18"/>
        <v>32.328514963422144</v>
      </c>
      <c r="S50" s="26">
        <f t="shared" si="27"/>
        <v>31.68163094721513</v>
      </c>
      <c r="T50" s="27">
        <f t="shared" si="28"/>
        <v>912.20209403078456</v>
      </c>
      <c r="U50" s="27">
        <f t="shared" si="29"/>
        <v>0</v>
      </c>
      <c r="V50" s="27">
        <f t="shared" si="30"/>
        <v>1681.093436853798</v>
      </c>
      <c r="W50" s="27">
        <f t="shared" si="31"/>
        <v>1109.0238542859311</v>
      </c>
      <c r="X50" s="15">
        <f t="shared" si="32"/>
        <v>0.82252702726410298</v>
      </c>
      <c r="Y50" s="15">
        <f t="shared" si="19"/>
        <v>0.82252702726410298</v>
      </c>
    </row>
    <row r="51" spans="1:25">
      <c r="A51" s="14">
        <f>'b（手動）計算用'!E54</f>
        <v>59</v>
      </c>
      <c r="B51" s="156">
        <f>'b（手動）計算用'!F54</f>
        <v>914.27422972484783</v>
      </c>
      <c r="C51" s="26">
        <f xml:space="preserve"> '樹高計算 '!N170</f>
        <v>27.25426557773557</v>
      </c>
      <c r="D51" s="26">
        <f>'b（手動）計算用'!G54</f>
        <v>27.25426557773557</v>
      </c>
      <c r="E51" s="26">
        <f t="shared" si="13"/>
        <v>30.236967932066996</v>
      </c>
      <c r="F51" s="26">
        <f t="shared" si="20"/>
        <v>12.240276966920648</v>
      </c>
      <c r="G51" s="26">
        <f t="shared" si="21"/>
        <v>75.569189648697574</v>
      </c>
      <c r="H51" s="26">
        <f t="shared" si="14"/>
        <v>32.440624241861748</v>
      </c>
      <c r="I51" s="26">
        <f t="shared" si="22"/>
        <v>31.78805990137991</v>
      </c>
      <c r="J51" s="27">
        <f t="shared" si="15"/>
        <v>0.49021673458505449</v>
      </c>
      <c r="K51" s="155">
        <f t="shared" si="23"/>
        <v>1767.3093112530271</v>
      </c>
      <c r="L51" s="27">
        <f t="shared" si="24"/>
        <v>924.98781146581121</v>
      </c>
      <c r="M51" s="155">
        <f>'b（手動）計算用'!L54</f>
        <v>0</v>
      </c>
      <c r="N51" s="155">
        <f t="shared" si="25"/>
        <v>914.27422972484783</v>
      </c>
      <c r="O51" s="26">
        <f t="shared" si="16"/>
        <v>30.236967932066996</v>
      </c>
      <c r="P51" s="26">
        <f t="shared" si="26"/>
        <v>12.240276966920648</v>
      </c>
      <c r="Q51" s="26">
        <f t="shared" si="17"/>
        <v>75.569189648697574</v>
      </c>
      <c r="R51" s="26">
        <f t="shared" si="18"/>
        <v>32.440624241861748</v>
      </c>
      <c r="S51" s="26">
        <f t="shared" si="27"/>
        <v>31.78805990137991</v>
      </c>
      <c r="T51" s="27">
        <f t="shared" si="28"/>
        <v>924.98781146581121</v>
      </c>
      <c r="U51" s="27">
        <f t="shared" si="29"/>
        <v>0</v>
      </c>
      <c r="V51" s="27">
        <f t="shared" si="30"/>
        <v>1663.9515426586358</v>
      </c>
      <c r="W51" s="27">
        <f t="shared" si="31"/>
        <v>1120.1067580198003</v>
      </c>
      <c r="X51" s="15">
        <f t="shared" si="32"/>
        <v>0.82580325923670583</v>
      </c>
      <c r="Y51" s="15">
        <f t="shared" si="19"/>
        <v>0.82580325923670583</v>
      </c>
    </row>
    <row r="52" spans="1:25">
      <c r="A52" s="14">
        <f>'b（手動）計算用'!E55</f>
        <v>60</v>
      </c>
      <c r="B52" s="156">
        <f>'b（手動）計算用'!F55</f>
        <v>914.27422972484783</v>
      </c>
      <c r="C52" s="26">
        <f xml:space="preserve"> '樹高計算 '!N171</f>
        <v>27.455270862155562</v>
      </c>
      <c r="D52" s="26">
        <f>'b（手動）計算用'!G55</f>
        <v>27.455270862155562</v>
      </c>
      <c r="E52" s="26">
        <f t="shared" si="13"/>
        <v>30.236967932066996</v>
      </c>
      <c r="F52" s="26">
        <f t="shared" si="20"/>
        <v>12.323309319514964</v>
      </c>
      <c r="G52" s="26">
        <f t="shared" si="21"/>
        <v>76.074128063866596</v>
      </c>
      <c r="H52" s="26">
        <f t="shared" si="14"/>
        <v>32.548824724479474</v>
      </c>
      <c r="I52" s="26">
        <f t="shared" si="22"/>
        <v>31.890739177455135</v>
      </c>
      <c r="J52" s="27">
        <f t="shared" si="15"/>
        <v>0.49586269691100293</v>
      </c>
      <c r="K52" s="155">
        <f t="shared" si="23"/>
        <v>1761.3639314195639</v>
      </c>
      <c r="L52" s="27">
        <f t="shared" si="24"/>
        <v>937.48501134342212</v>
      </c>
      <c r="M52" s="155">
        <f>'b（手動）計算用'!L55</f>
        <v>0</v>
      </c>
      <c r="N52" s="155">
        <f t="shared" si="25"/>
        <v>914.27422972484783</v>
      </c>
      <c r="O52" s="26">
        <f t="shared" si="16"/>
        <v>30.236967932066996</v>
      </c>
      <c r="P52" s="26">
        <f t="shared" si="26"/>
        <v>12.323309319514964</v>
      </c>
      <c r="Q52" s="26">
        <f t="shared" si="17"/>
        <v>76.074128063866596</v>
      </c>
      <c r="R52" s="26">
        <f t="shared" si="18"/>
        <v>32.548824724479474</v>
      </c>
      <c r="S52" s="26">
        <f t="shared" si="27"/>
        <v>31.890739177455135</v>
      </c>
      <c r="T52" s="27">
        <f t="shared" si="28"/>
        <v>937.48501134342212</v>
      </c>
      <c r="U52" s="27">
        <f t="shared" si="29"/>
        <v>0</v>
      </c>
      <c r="V52" s="27">
        <f t="shared" si="30"/>
        <v>1647.5607705765235</v>
      </c>
      <c r="W52" s="27">
        <f t="shared" si="31"/>
        <v>1130.9164718202651</v>
      </c>
      <c r="X52" s="15">
        <f t="shared" si="32"/>
        <v>0.82896043580875112</v>
      </c>
      <c r="Y52" s="15">
        <f t="shared" si="19"/>
        <v>0.82896043580875112</v>
      </c>
    </row>
    <row r="53" spans="1:25">
      <c r="A53" s="14">
        <f>'b（手動）計算用'!E56</f>
        <v>61</v>
      </c>
      <c r="B53" s="156">
        <f>'b（手動）計算用'!F56</f>
        <v>914.27422972484783</v>
      </c>
      <c r="C53" s="26">
        <f xml:space="preserve"> '樹高計算 '!N172</f>
        <v>27.650873583197519</v>
      </c>
      <c r="D53" s="26">
        <f>'b（手動）計算用'!G56</f>
        <v>27.650873583197519</v>
      </c>
      <c r="E53" s="26">
        <f t="shared" si="13"/>
        <v>30.236967932066996</v>
      </c>
      <c r="F53" s="26">
        <f t="shared" si="20"/>
        <v>12.404109951940264</v>
      </c>
      <c r="G53" s="26">
        <f t="shared" si="21"/>
        <v>76.563188319731466</v>
      </c>
      <c r="H53" s="26">
        <f t="shared" si="14"/>
        <v>32.653280964563685</v>
      </c>
      <c r="I53" s="26">
        <f t="shared" si="22"/>
        <v>31.989828584030956</v>
      </c>
      <c r="J53" s="27">
        <f t="shared" si="15"/>
        <v>0.5013720539245784</v>
      </c>
      <c r="K53" s="155">
        <f t="shared" si="23"/>
        <v>1755.6008366735552</v>
      </c>
      <c r="L53" s="27">
        <f t="shared" si="24"/>
        <v>949.6982061890576</v>
      </c>
      <c r="M53" s="155">
        <f>'b（手動）計算用'!L56</f>
        <v>0</v>
      </c>
      <c r="N53" s="155">
        <f t="shared" si="25"/>
        <v>914.27422972484783</v>
      </c>
      <c r="O53" s="26">
        <f t="shared" si="16"/>
        <v>30.236967932066996</v>
      </c>
      <c r="P53" s="26">
        <f t="shared" si="26"/>
        <v>12.404109951940264</v>
      </c>
      <c r="Q53" s="26">
        <f t="shared" si="17"/>
        <v>76.563188319731466</v>
      </c>
      <c r="R53" s="26">
        <f t="shared" si="18"/>
        <v>32.653280964563685</v>
      </c>
      <c r="S53" s="26">
        <f t="shared" si="27"/>
        <v>31.989828584030956</v>
      </c>
      <c r="T53" s="27">
        <f t="shared" si="28"/>
        <v>949.6982061890576</v>
      </c>
      <c r="U53" s="27">
        <f t="shared" si="29"/>
        <v>0</v>
      </c>
      <c r="V53" s="27">
        <f t="shared" si="30"/>
        <v>1631.8787077573536</v>
      </c>
      <c r="W53" s="27">
        <f t="shared" si="31"/>
        <v>1141.4590014366192</v>
      </c>
      <c r="X53" s="15">
        <f t="shared" si="32"/>
        <v>0.8320037819963616</v>
      </c>
      <c r="Y53" s="15">
        <f t="shared" si="19"/>
        <v>0.8320037819963616</v>
      </c>
    </row>
    <row r="54" spans="1:25">
      <c r="A54" s="14">
        <f>'b（手動）計算用'!E57</f>
        <v>62</v>
      </c>
      <c r="B54" s="156">
        <f>'b（手動）計算用'!F57</f>
        <v>914.27422972484783</v>
      </c>
      <c r="C54" s="26">
        <f xml:space="preserve"> '樹高計算 '!N173</f>
        <v>27.841220855483183</v>
      </c>
      <c r="D54" s="26">
        <f>'b（手動）計算用'!G57</f>
        <v>27.841220855483183</v>
      </c>
      <c r="E54" s="26">
        <f t="shared" si="13"/>
        <v>30.236967932066996</v>
      </c>
      <c r="F54" s="26">
        <f t="shared" si="20"/>
        <v>12.482739635102053</v>
      </c>
      <c r="G54" s="26">
        <f t="shared" si="21"/>
        <v>77.036935765704811</v>
      </c>
      <c r="H54" s="26">
        <f t="shared" si="14"/>
        <v>32.754148970879335</v>
      </c>
      <c r="I54" s="26">
        <f t="shared" si="22"/>
        <v>32.085479539893015</v>
      </c>
      <c r="J54" s="27">
        <f t="shared" si="15"/>
        <v>0.5067476236256645</v>
      </c>
      <c r="K54" s="155">
        <f t="shared" si="23"/>
        <v>1750.0139257566989</v>
      </c>
      <c r="L54" s="27">
        <f t="shared" si="24"/>
        <v>961.63201144937432</v>
      </c>
      <c r="M54" s="155">
        <f>'b（手動）計算用'!L57</f>
        <v>0</v>
      </c>
      <c r="N54" s="155">
        <f t="shared" si="25"/>
        <v>914.27422972484783</v>
      </c>
      <c r="O54" s="26">
        <f t="shared" si="16"/>
        <v>30.236967932066996</v>
      </c>
      <c r="P54" s="26">
        <f t="shared" si="26"/>
        <v>12.482739635102053</v>
      </c>
      <c r="Q54" s="26">
        <f t="shared" si="17"/>
        <v>77.036935765704811</v>
      </c>
      <c r="R54" s="26">
        <f t="shared" si="18"/>
        <v>32.754148970879335</v>
      </c>
      <c r="S54" s="26">
        <f t="shared" si="27"/>
        <v>32.085479539893015</v>
      </c>
      <c r="T54" s="27">
        <f t="shared" si="28"/>
        <v>961.63201144937432</v>
      </c>
      <c r="U54" s="27">
        <f t="shared" si="29"/>
        <v>0</v>
      </c>
      <c r="V54" s="27">
        <f t="shared" si="30"/>
        <v>1616.8659691424291</v>
      </c>
      <c r="W54" s="27">
        <f t="shared" si="31"/>
        <v>1151.7402839983101</v>
      </c>
      <c r="X54" s="15">
        <f t="shared" si="32"/>
        <v>0.83493824502780456</v>
      </c>
      <c r="Y54" s="15">
        <f t="shared" si="19"/>
        <v>0.83493824502780456</v>
      </c>
    </row>
    <row r="55" spans="1:25">
      <c r="A55" s="14">
        <f>'b（手動）計算用'!E58</f>
        <v>63</v>
      </c>
      <c r="B55" s="156">
        <f>'b（手動）計算用'!F58</f>
        <v>914.27422972484783</v>
      </c>
      <c r="C55" s="26">
        <f xml:space="preserve"> '樹高計算 '!N174</f>
        <v>28.026455885730172</v>
      </c>
      <c r="D55" s="26">
        <f>'b（手動）計算用'!G58</f>
        <v>28.026455885730172</v>
      </c>
      <c r="E55" s="26">
        <f t="shared" si="13"/>
        <v>30.236967932066996</v>
      </c>
      <c r="F55" s="26">
        <f t="shared" si="20"/>
        <v>12.55925752560761</v>
      </c>
      <c r="G55" s="26">
        <f t="shared" si="21"/>
        <v>77.495912674269846</v>
      </c>
      <c r="H55" s="26">
        <f t="shared" si="14"/>
        <v>32.851576734229923</v>
      </c>
      <c r="I55" s="26">
        <f t="shared" si="22"/>
        <v>32.177835595479465</v>
      </c>
      <c r="J55" s="27">
        <f t="shared" si="15"/>
        <v>0.5119922080398166</v>
      </c>
      <c r="K55" s="155">
        <f t="shared" si="23"/>
        <v>1744.5973134840822</v>
      </c>
      <c r="L55" s="27">
        <f t="shared" si="24"/>
        <v>973.29112445815372</v>
      </c>
      <c r="M55" s="155">
        <f>'b（手動）計算用'!L58</f>
        <v>0</v>
      </c>
      <c r="N55" s="155">
        <f t="shared" si="25"/>
        <v>914.27422972484783</v>
      </c>
      <c r="O55" s="26">
        <f t="shared" si="16"/>
        <v>30.236967932066996</v>
      </c>
      <c r="P55" s="26">
        <f t="shared" si="26"/>
        <v>12.55925752560761</v>
      </c>
      <c r="Q55" s="26">
        <f t="shared" si="17"/>
        <v>77.495912674269846</v>
      </c>
      <c r="R55" s="26">
        <f t="shared" si="18"/>
        <v>32.851576734229923</v>
      </c>
      <c r="S55" s="26">
        <f t="shared" si="27"/>
        <v>32.177835595479465</v>
      </c>
      <c r="T55" s="27">
        <f t="shared" si="28"/>
        <v>973.29112445815372</v>
      </c>
      <c r="U55" s="27">
        <f t="shared" si="29"/>
        <v>0</v>
      </c>
      <c r="V55" s="27">
        <f t="shared" si="30"/>
        <v>1602.4859371128059</v>
      </c>
      <c r="W55" s="27">
        <f t="shared" si="31"/>
        <v>1161.7661815417077</v>
      </c>
      <c r="X55" s="15">
        <f t="shared" si="32"/>
        <v>0.83776851135962616</v>
      </c>
      <c r="Y55" s="15">
        <f t="shared" si="19"/>
        <v>0.83776851135962616</v>
      </c>
    </row>
    <row r="56" spans="1:25">
      <c r="A56" s="14">
        <f>'b（手動）計算用'!E59</f>
        <v>64</v>
      </c>
      <c r="B56" s="156">
        <f>'b（手動）計算用'!F59</f>
        <v>914.27422972484783</v>
      </c>
      <c r="C56" s="26">
        <f xml:space="preserve"> '樹高計算 '!N175</f>
        <v>28.206718036985855</v>
      </c>
      <c r="D56" s="26">
        <f>'b（手動）計算用'!G59</f>
        <v>28.206718036985855</v>
      </c>
      <c r="E56" s="26">
        <f t="shared" si="13"/>
        <v>30.236967932066996</v>
      </c>
      <c r="F56" s="26">
        <f t="shared" si="20"/>
        <v>12.633721192300058</v>
      </c>
      <c r="G56" s="26">
        <f t="shared" si="21"/>
        <v>77.940639233059855</v>
      </c>
      <c r="H56" s="26">
        <f t="shared" si="14"/>
        <v>32.945704717913664</v>
      </c>
      <c r="I56" s="26">
        <f t="shared" si="22"/>
        <v>32.267032918314484</v>
      </c>
      <c r="J56" s="27">
        <f t="shared" si="15"/>
        <v>0.51710858841714324</v>
      </c>
      <c r="K56" s="155">
        <f t="shared" si="23"/>
        <v>1739.3453245355065</v>
      </c>
      <c r="L56" s="27">
        <f t="shared" si="24"/>
        <v>984.68030562012166</v>
      </c>
      <c r="M56" s="155">
        <f>'b（手動）計算用'!L59</f>
        <v>0</v>
      </c>
      <c r="N56" s="155">
        <f t="shared" si="25"/>
        <v>914.27422972484783</v>
      </c>
      <c r="O56" s="26">
        <f t="shared" si="16"/>
        <v>30.236967932066996</v>
      </c>
      <c r="P56" s="26">
        <f t="shared" si="26"/>
        <v>12.633721192300058</v>
      </c>
      <c r="Q56" s="26">
        <f t="shared" si="17"/>
        <v>77.940639233059855</v>
      </c>
      <c r="R56" s="26">
        <f t="shared" si="18"/>
        <v>32.945704717913664</v>
      </c>
      <c r="S56" s="26">
        <f t="shared" si="27"/>
        <v>32.267032918314484</v>
      </c>
      <c r="T56" s="27">
        <f t="shared" si="28"/>
        <v>984.68030562012166</v>
      </c>
      <c r="U56" s="27">
        <f t="shared" si="29"/>
        <v>0</v>
      </c>
      <c r="V56" s="27">
        <f t="shared" si="30"/>
        <v>1588.7045270387994</v>
      </c>
      <c r="W56" s="27">
        <f t="shared" si="31"/>
        <v>1171.5424755624026</v>
      </c>
      <c r="X56" s="15">
        <f t="shared" si="32"/>
        <v>0.84049902257911968</v>
      </c>
      <c r="Y56" s="15">
        <f t="shared" si="19"/>
        <v>0.84049902257911968</v>
      </c>
    </row>
    <row r="57" spans="1:25">
      <c r="A57" s="14">
        <f>'b（手動）計算用'!E60</f>
        <v>65</v>
      </c>
      <c r="B57" s="156">
        <f>'b（手動）計算用'!F60</f>
        <v>914.27422972484783</v>
      </c>
      <c r="C57" s="26">
        <f xml:space="preserve"> '樹高計算 '!N176</f>
        <v>28.382142898926077</v>
      </c>
      <c r="D57" s="26">
        <f>'b（手動）計算用'!G60</f>
        <v>28.382142898926077</v>
      </c>
      <c r="E57" s="26">
        <f t="shared" si="13"/>
        <v>30.236967932066996</v>
      </c>
      <c r="F57" s="26">
        <f t="shared" si="20"/>
        <v>12.706186645297777</v>
      </c>
      <c r="G57" s="26">
        <f t="shared" si="21"/>
        <v>78.371614505761457</v>
      </c>
      <c r="H57" s="26">
        <f t="shared" si="14"/>
        <v>33.036666314692667</v>
      </c>
      <c r="I57" s="26">
        <f t="shared" si="22"/>
        <v>32.353200745050863</v>
      </c>
      <c r="J57" s="27">
        <f t="shared" si="15"/>
        <v>0.52209952108424562</v>
      </c>
      <c r="K57" s="155">
        <f t="shared" si="23"/>
        <v>1734.252487067806</v>
      </c>
      <c r="L57" s="27">
        <f t="shared" si="24"/>
        <v>995.80436160353179</v>
      </c>
      <c r="M57" s="155">
        <f>'b（手動）計算用'!L60</f>
        <v>0</v>
      </c>
      <c r="N57" s="155">
        <f t="shared" si="25"/>
        <v>914.27422972484783</v>
      </c>
      <c r="O57" s="26">
        <f t="shared" si="16"/>
        <v>30.236967932066996</v>
      </c>
      <c r="P57" s="26">
        <f t="shared" si="26"/>
        <v>12.706186645297777</v>
      </c>
      <c r="Q57" s="26">
        <f t="shared" si="17"/>
        <v>78.371614505761457</v>
      </c>
      <c r="R57" s="26">
        <f t="shared" si="18"/>
        <v>33.036666314692667</v>
      </c>
      <c r="S57" s="26">
        <f t="shared" si="27"/>
        <v>32.353200745050863</v>
      </c>
      <c r="T57" s="27">
        <f t="shared" si="28"/>
        <v>995.80436160353179</v>
      </c>
      <c r="U57" s="27">
        <f t="shared" si="29"/>
        <v>0</v>
      </c>
      <c r="V57" s="27">
        <f t="shared" si="30"/>
        <v>1575.489975819336</v>
      </c>
      <c r="W57" s="27">
        <f t="shared" si="31"/>
        <v>1181.0748624799655</v>
      </c>
      <c r="X57" s="15">
        <f t="shared" si="32"/>
        <v>0.8431339902642484</v>
      </c>
      <c r="Y57" s="15">
        <f t="shared" si="19"/>
        <v>0.8431339902642484</v>
      </c>
    </row>
    <row r="58" spans="1:25">
      <c r="A58" s="14">
        <f>'b（手動）計算用'!E61</f>
        <v>66</v>
      </c>
      <c r="B58" s="156">
        <f>'b（手動）計算用'!F61</f>
        <v>914.27422972484783</v>
      </c>
      <c r="C58" s="26">
        <f xml:space="preserve"> '樹高計算 '!N177</f>
        <v>28.552862362990862</v>
      </c>
      <c r="D58" s="26">
        <f>'b（手動）計算用'!G61</f>
        <v>28.552862362990862</v>
      </c>
      <c r="E58" s="26">
        <f t="shared" si="13"/>
        <v>30.236967932066996</v>
      </c>
      <c r="F58" s="26">
        <f t="shared" si="20"/>
        <v>12.776708367031823</v>
      </c>
      <c r="G58" s="26">
        <f t="shared" si="21"/>
        <v>78.78931736024596</v>
      </c>
      <c r="H58" s="26">
        <f t="shared" si="14"/>
        <v>33.124588272693423</v>
      </c>
      <c r="I58" s="26">
        <f t="shared" si="22"/>
        <v>32.436461802551641</v>
      </c>
      <c r="J58" s="27">
        <f t="shared" si="15"/>
        <v>0.52696773387827234</v>
      </c>
      <c r="K58" s="155">
        <f t="shared" si="23"/>
        <v>1729.3135262222409</v>
      </c>
      <c r="L58" s="27">
        <f t="shared" si="24"/>
        <v>1006.6681303493801</v>
      </c>
      <c r="M58" s="155">
        <f>'b（手動）計算用'!L61</f>
        <v>0</v>
      </c>
      <c r="N58" s="155">
        <f t="shared" si="25"/>
        <v>914.27422972484783</v>
      </c>
      <c r="O58" s="26">
        <f t="shared" si="16"/>
        <v>30.236967932066996</v>
      </c>
      <c r="P58" s="26">
        <f t="shared" si="26"/>
        <v>12.776708367031823</v>
      </c>
      <c r="Q58" s="26">
        <f t="shared" si="17"/>
        <v>78.78931736024596</v>
      </c>
      <c r="R58" s="26">
        <f t="shared" si="18"/>
        <v>33.124588272693423</v>
      </c>
      <c r="S58" s="26">
        <f t="shared" si="27"/>
        <v>32.436461802551641</v>
      </c>
      <c r="T58" s="27">
        <f t="shared" si="28"/>
        <v>1006.6681303493801</v>
      </c>
      <c r="U58" s="27">
        <f t="shared" si="29"/>
        <v>0</v>
      </c>
      <c r="V58" s="27">
        <f t="shared" si="30"/>
        <v>1562.8126508650064</v>
      </c>
      <c r="W58" s="27">
        <f t="shared" si="31"/>
        <v>1190.368949912126</v>
      </c>
      <c r="X58" s="15">
        <f t="shared" si="32"/>
        <v>0.84567740986833806</v>
      </c>
      <c r="Y58" s="15">
        <f t="shared" si="19"/>
        <v>0.84567740986833806</v>
      </c>
    </row>
    <row r="59" spans="1:25">
      <c r="A59" s="14">
        <f>'b（手動）計算用'!E62</f>
        <v>67</v>
      </c>
      <c r="B59" s="156">
        <f>'b（手動）計算用'!F62</f>
        <v>914.27422972484783</v>
      </c>
      <c r="C59" s="26">
        <f xml:space="preserve"> '樹高計算 '!N178</f>
        <v>28.719004701274081</v>
      </c>
      <c r="D59" s="26">
        <f>'b（手動）計算用'!G62</f>
        <v>28.719004701274081</v>
      </c>
      <c r="E59" s="26">
        <f t="shared" si="13"/>
        <v>30.236967932066996</v>
      </c>
      <c r="F59" s="26">
        <f t="shared" si="20"/>
        <v>12.845339344834137</v>
      </c>
      <c r="G59" s="26">
        <f t="shared" si="21"/>
        <v>79.194207362890268</v>
      </c>
      <c r="H59" s="26">
        <f t="shared" si="14"/>
        <v>33.209591092476245</v>
      </c>
      <c r="I59" s="26">
        <f t="shared" si="22"/>
        <v>32.516932700258167</v>
      </c>
      <c r="J59" s="27">
        <f t="shared" si="15"/>
        <v>0.5317159230989793</v>
      </c>
      <c r="K59" s="155">
        <f t="shared" si="23"/>
        <v>1724.5233575889124</v>
      </c>
      <c r="L59" s="27">
        <f t="shared" si="24"/>
        <v>1017.2764677214876</v>
      </c>
      <c r="M59" s="155">
        <f>'b（手動）計算用'!L62</f>
        <v>0</v>
      </c>
      <c r="N59" s="155">
        <f t="shared" si="25"/>
        <v>914.27422972484783</v>
      </c>
      <c r="O59" s="26">
        <f t="shared" si="16"/>
        <v>30.236967932066996</v>
      </c>
      <c r="P59" s="26">
        <f t="shared" si="26"/>
        <v>12.845339344834137</v>
      </c>
      <c r="Q59" s="26">
        <f t="shared" si="17"/>
        <v>79.194207362890268</v>
      </c>
      <c r="R59" s="26">
        <f t="shared" si="18"/>
        <v>33.209591092476245</v>
      </c>
      <c r="S59" s="26">
        <f t="shared" si="27"/>
        <v>32.516932700258167</v>
      </c>
      <c r="T59" s="27">
        <f t="shared" si="28"/>
        <v>1017.2764677214876</v>
      </c>
      <c r="U59" s="27">
        <f t="shared" si="29"/>
        <v>0</v>
      </c>
      <c r="V59" s="27">
        <f t="shared" si="30"/>
        <v>1550.6448772930148</v>
      </c>
      <c r="W59" s="27">
        <f t="shared" si="31"/>
        <v>1199.4302536650275</v>
      </c>
      <c r="X59" s="15">
        <f t="shared" si="32"/>
        <v>0.84813307369316104</v>
      </c>
      <c r="Y59" s="15">
        <f t="shared" si="19"/>
        <v>0.84813307369316104</v>
      </c>
    </row>
    <row r="60" spans="1:25">
      <c r="A60" s="14">
        <f>'b（手動）計算用'!E63</f>
        <v>68</v>
      </c>
      <c r="B60" s="156">
        <f>'b（手動）計算用'!F63</f>
        <v>914.27422972484783</v>
      </c>
      <c r="C60" s="26">
        <f xml:space="preserve"> '樹高計算 '!N179</f>
        <v>28.880694648217556</v>
      </c>
      <c r="D60" s="26">
        <f>'b（手動）計算用'!G63</f>
        <v>28.880694648217556</v>
      </c>
      <c r="E60" s="26">
        <f t="shared" si="13"/>
        <v>30.236967932066996</v>
      </c>
      <c r="F60" s="26">
        <f t="shared" si="20"/>
        <v>12.912131104684164</v>
      </c>
      <c r="G60" s="26">
        <f t="shared" si="21"/>
        <v>79.586725638510117</v>
      </c>
      <c r="H60" s="26">
        <f t="shared" si="14"/>
        <v>33.29178939734436</v>
      </c>
      <c r="I60" s="26">
        <f t="shared" si="22"/>
        <v>32.59472429592283</v>
      </c>
      <c r="J60" s="27">
        <f t="shared" si="15"/>
        <v>0.53634675092093775</v>
      </c>
      <c r="K60" s="155">
        <f t="shared" si="23"/>
        <v>1719.8770806796765</v>
      </c>
      <c r="L60" s="27">
        <f t="shared" si="24"/>
        <v>1027.6342356369712</v>
      </c>
      <c r="M60" s="155">
        <f>'b（手動）計算用'!L63</f>
        <v>0</v>
      </c>
      <c r="N60" s="155">
        <f t="shared" si="25"/>
        <v>914.27422972484783</v>
      </c>
      <c r="O60" s="26">
        <f t="shared" si="16"/>
        <v>30.236967932066996</v>
      </c>
      <c r="P60" s="26">
        <f t="shared" si="26"/>
        <v>12.912131104684164</v>
      </c>
      <c r="Q60" s="26">
        <f t="shared" si="17"/>
        <v>79.586725638510117</v>
      </c>
      <c r="R60" s="26">
        <f t="shared" si="18"/>
        <v>33.29178939734436</v>
      </c>
      <c r="S60" s="26">
        <f t="shared" si="27"/>
        <v>32.59472429592283</v>
      </c>
      <c r="T60" s="27">
        <f t="shared" si="28"/>
        <v>1027.6342356369712</v>
      </c>
      <c r="U60" s="27">
        <f t="shared" si="29"/>
        <v>0</v>
      </c>
      <c r="V60" s="27">
        <f t="shared" si="30"/>
        <v>1538.9607813736818</v>
      </c>
      <c r="W60" s="27">
        <f t="shared" si="31"/>
        <v>1208.2641953551683</v>
      </c>
      <c r="X60" s="15">
        <f t="shared" si="32"/>
        <v>0.85050458301042253</v>
      </c>
      <c r="Y60" s="15">
        <f t="shared" si="19"/>
        <v>0.85050458301042253</v>
      </c>
    </row>
    <row r="61" spans="1:25">
      <c r="A61" s="14">
        <f>'b（手動）計算用'!E64</f>
        <v>69</v>
      </c>
      <c r="B61" s="156">
        <f>'b（手動）計算用'!F64</f>
        <v>914.27422972484783</v>
      </c>
      <c r="C61" s="26">
        <f xml:space="preserve"> '樹高計算 '!N180</f>
        <v>29.038053484283193</v>
      </c>
      <c r="D61" s="26">
        <f>'b（手動）計算用'!G64</f>
        <v>29.038053484283193</v>
      </c>
      <c r="E61" s="26">
        <f t="shared" si="13"/>
        <v>30.236967932066996</v>
      </c>
      <c r="F61" s="26">
        <f t="shared" si="20"/>
        <v>12.977133745772607</v>
      </c>
      <c r="G61" s="26">
        <f t="shared" si="21"/>
        <v>79.967295695717169</v>
      </c>
      <c r="H61" s="26">
        <f t="shared" si="14"/>
        <v>33.371292278810358</v>
      </c>
      <c r="I61" s="26">
        <f t="shared" si="22"/>
        <v>32.669942036629919</v>
      </c>
      <c r="J61" s="27">
        <f t="shared" si="15"/>
        <v>0.54086284321387001</v>
      </c>
      <c r="K61" s="155">
        <f t="shared" si="23"/>
        <v>1715.3699724518976</v>
      </c>
      <c r="L61" s="27">
        <f t="shared" si="24"/>
        <v>1037.7462915310678</v>
      </c>
      <c r="M61" s="155">
        <f>'b（手動）計算用'!L64</f>
        <v>0</v>
      </c>
      <c r="N61" s="155">
        <f t="shared" si="25"/>
        <v>914.27422972484783</v>
      </c>
      <c r="O61" s="26">
        <f t="shared" si="16"/>
        <v>30.236967932066996</v>
      </c>
      <c r="P61" s="26">
        <f t="shared" si="26"/>
        <v>12.977133745772607</v>
      </c>
      <c r="Q61" s="26">
        <f t="shared" si="17"/>
        <v>79.967295695717169</v>
      </c>
      <c r="R61" s="26">
        <f t="shared" si="18"/>
        <v>33.371292278810358</v>
      </c>
      <c r="S61" s="26">
        <f t="shared" si="27"/>
        <v>32.669942036629919</v>
      </c>
      <c r="T61" s="27">
        <f t="shared" si="28"/>
        <v>1037.7462915310678</v>
      </c>
      <c r="U61" s="27">
        <f t="shared" si="29"/>
        <v>0</v>
      </c>
      <c r="V61" s="27">
        <f t="shared" si="30"/>
        <v>1527.7361485030772</v>
      </c>
      <c r="W61" s="27">
        <f t="shared" si="31"/>
        <v>1216.876100587144</v>
      </c>
      <c r="X61" s="15">
        <f t="shared" si="32"/>
        <v>0.85279535938815298</v>
      </c>
      <c r="Y61" s="15">
        <f t="shared" si="19"/>
        <v>0.85279535938815298</v>
      </c>
    </row>
    <row r="62" spans="1:25">
      <c r="A62" s="14">
        <f>'b（手動）計算用'!E65</f>
        <v>70</v>
      </c>
      <c r="B62" s="156">
        <f>'b（手動）計算用'!F65</f>
        <v>914.27422972484783</v>
      </c>
      <c r="C62" s="26">
        <f xml:space="preserve"> '樹高計算 '!N181</f>
        <v>29.191199120888513</v>
      </c>
      <c r="D62" s="26">
        <f>'b（手動）計算用'!G65</f>
        <v>29.191199120888513</v>
      </c>
      <c r="E62" s="26">
        <f t="shared" si="13"/>
        <v>30.236967932066996</v>
      </c>
      <c r="F62" s="26">
        <f t="shared" si="20"/>
        <v>13.040395975587042</v>
      </c>
      <c r="G62" s="26">
        <f t="shared" si="21"/>
        <v>80.336324217829926</v>
      </c>
      <c r="H62" s="26">
        <f t="shared" si="14"/>
        <v>33.448203618996899</v>
      </c>
      <c r="I62" s="26">
        <f t="shared" si="22"/>
        <v>32.742686276885834</v>
      </c>
      <c r="J62" s="27">
        <f t="shared" si="15"/>
        <v>0.54526678772441417</v>
      </c>
      <c r="K62" s="155">
        <f t="shared" si="23"/>
        <v>1710.997480917549</v>
      </c>
      <c r="L62" s="27">
        <f t="shared" si="24"/>
        <v>1047.6174790236453</v>
      </c>
      <c r="M62" s="155">
        <f>'b（手動）計算用'!L65</f>
        <v>0</v>
      </c>
      <c r="N62" s="155">
        <f t="shared" si="25"/>
        <v>914.27422972484783</v>
      </c>
      <c r="O62" s="26">
        <f t="shared" si="16"/>
        <v>30.236967932066996</v>
      </c>
      <c r="P62" s="26">
        <f t="shared" si="26"/>
        <v>13.040395975587042</v>
      </c>
      <c r="Q62" s="26">
        <f t="shared" si="17"/>
        <v>80.336324217829926</v>
      </c>
      <c r="R62" s="26">
        <f t="shared" si="18"/>
        <v>33.448203618996899</v>
      </c>
      <c r="S62" s="26">
        <f t="shared" si="27"/>
        <v>32.742686276885834</v>
      </c>
      <c r="T62" s="27">
        <f t="shared" si="28"/>
        <v>1047.6174790236453</v>
      </c>
      <c r="U62" s="27">
        <f t="shared" si="29"/>
        <v>0</v>
      </c>
      <c r="V62" s="27">
        <f t="shared" si="30"/>
        <v>1516.94829418013</v>
      </c>
      <c r="W62" s="27">
        <f t="shared" si="31"/>
        <v>1225.2711976190694</v>
      </c>
      <c r="X62" s="15">
        <f t="shared" si="32"/>
        <v>0.85500865527514358</v>
      </c>
      <c r="Y62" s="15">
        <f t="shared" si="19"/>
        <v>0.85500865527514358</v>
      </c>
    </row>
    <row r="63" spans="1:25">
      <c r="A63" s="14">
        <f>'b（手動）計算用'!E66</f>
        <v>71</v>
      </c>
      <c r="B63" s="156">
        <f>'b（手動）計算用'!F66</f>
        <v>914.27422972484783</v>
      </c>
      <c r="C63" s="26">
        <f xml:space="preserve"> '樹高計算 '!N182</f>
        <v>29.340246185992296</v>
      </c>
      <c r="D63" s="26">
        <f>'b（手動）計算用'!G66</f>
        <v>29.340246185992296</v>
      </c>
      <c r="E63" s="26">
        <f t="shared" si="13"/>
        <v>30.236967932066996</v>
      </c>
      <c r="F63" s="26">
        <f t="shared" si="20"/>
        <v>13.101965145266117</v>
      </c>
      <c r="G63" s="26">
        <f t="shared" si="21"/>
        <v>80.694201819730267</v>
      </c>
      <c r="H63" s="26">
        <f t="shared" si="14"/>
        <v>33.522622391618526</v>
      </c>
      <c r="I63" s="26">
        <f t="shared" si="22"/>
        <v>32.813052575428067</v>
      </c>
      <c r="J63" s="27">
        <f t="shared" si="15"/>
        <v>0.5495611325775035</v>
      </c>
      <c r="K63" s="155">
        <f t="shared" si="23"/>
        <v>1706.7552188653935</v>
      </c>
      <c r="L63" s="27">
        <f t="shared" si="24"/>
        <v>1057.2526196671756</v>
      </c>
      <c r="M63" s="155">
        <f>'b（手動）計算用'!L66</f>
        <v>0</v>
      </c>
      <c r="N63" s="155">
        <f t="shared" si="25"/>
        <v>914.27422972484783</v>
      </c>
      <c r="O63" s="26">
        <f t="shared" si="16"/>
        <v>30.236967932066996</v>
      </c>
      <c r="P63" s="26">
        <f t="shared" si="26"/>
        <v>13.101965145266117</v>
      </c>
      <c r="Q63" s="26">
        <f t="shared" si="17"/>
        <v>80.694201819730267</v>
      </c>
      <c r="R63" s="26">
        <f t="shared" si="18"/>
        <v>33.522622391618526</v>
      </c>
      <c r="S63" s="26">
        <f t="shared" si="27"/>
        <v>32.813052575428067</v>
      </c>
      <c r="T63" s="27">
        <f t="shared" si="28"/>
        <v>1057.2526196671756</v>
      </c>
      <c r="U63" s="27">
        <f t="shared" si="29"/>
        <v>0</v>
      </c>
      <c r="V63" s="27">
        <f t="shared" si="30"/>
        <v>1506.5759466438217</v>
      </c>
      <c r="W63" s="27">
        <f t="shared" si="31"/>
        <v>1233.454616454788</v>
      </c>
      <c r="X63" s="15">
        <f t="shared" si="32"/>
        <v>0.8571475638933076</v>
      </c>
      <c r="Y63" s="15">
        <f t="shared" si="19"/>
        <v>0.8571475638933076</v>
      </c>
    </row>
    <row r="64" spans="1:25">
      <c r="A64" s="14">
        <f>'b（手動）計算用'!E67</f>
        <v>72</v>
      </c>
      <c r="B64" s="156">
        <f>'b（手動）計算用'!F67</f>
        <v>914.27422972484783</v>
      </c>
      <c r="C64" s="26">
        <f xml:space="preserve"> '樹高計算 '!N183</f>
        <v>29.485306109807635</v>
      </c>
      <c r="D64" s="26">
        <f>'b（手動）計算用'!G67</f>
        <v>29.485306109807635</v>
      </c>
      <c r="E64" s="26">
        <f t="shared" si="13"/>
        <v>30.236967932066996</v>
      </c>
      <c r="F64" s="26">
        <f t="shared" si="20"/>
        <v>13.161887285006349</v>
      </c>
      <c r="G64" s="26">
        <f t="shared" si="21"/>
        <v>81.041303771264324</v>
      </c>
      <c r="H64" s="26">
        <f t="shared" si="14"/>
        <v>33.594642943070482</v>
      </c>
      <c r="I64" s="26">
        <f t="shared" si="22"/>
        <v>32.8811319722804</v>
      </c>
      <c r="J64" s="27">
        <f t="shared" si="15"/>
        <v>0.55374838505996471</v>
      </c>
      <c r="K64" s="155">
        <f t="shared" si="23"/>
        <v>1702.6389577182183</v>
      </c>
      <c r="L64" s="27">
        <f t="shared" si="24"/>
        <v>1066.656505667341</v>
      </c>
      <c r="M64" s="155">
        <f>'b（手動）計算用'!L67</f>
        <v>0</v>
      </c>
      <c r="N64" s="155">
        <f t="shared" si="25"/>
        <v>914.27422972484783</v>
      </c>
      <c r="O64" s="26">
        <f t="shared" si="16"/>
        <v>30.236967932066996</v>
      </c>
      <c r="P64" s="26">
        <f t="shared" si="26"/>
        <v>13.161887285006349</v>
      </c>
      <c r="Q64" s="26">
        <f t="shared" si="17"/>
        <v>81.041303771264324</v>
      </c>
      <c r="R64" s="26">
        <f t="shared" si="18"/>
        <v>33.594642943070482</v>
      </c>
      <c r="S64" s="26">
        <f t="shared" si="27"/>
        <v>32.8811319722804</v>
      </c>
      <c r="T64" s="27">
        <f t="shared" si="28"/>
        <v>1066.656505667341</v>
      </c>
      <c r="U64" s="27">
        <f t="shared" si="29"/>
        <v>0</v>
      </c>
      <c r="V64" s="27">
        <f t="shared" si="30"/>
        <v>1496.5991399805368</v>
      </c>
      <c r="W64" s="27">
        <f t="shared" si="31"/>
        <v>1241.4313883085092</v>
      </c>
      <c r="X64" s="15">
        <f t="shared" si="32"/>
        <v>0.85921502848473585</v>
      </c>
      <c r="Y64" s="15">
        <f t="shared" si="19"/>
        <v>0.85921502848473585</v>
      </c>
    </row>
    <row r="65" spans="1:25">
      <c r="A65" s="14">
        <f>'b（手動）計算用'!E68</f>
        <v>73</v>
      </c>
      <c r="B65" s="156">
        <f>'b（手動）計算用'!F68</f>
        <v>914.27422972484783</v>
      </c>
      <c r="C65" s="26">
        <f xml:space="preserve"> '樹高計算 '!N184</f>
        <v>29.62648721020097</v>
      </c>
      <c r="D65" s="26">
        <f>'b（手動）計算用'!G68</f>
        <v>29.62648721020097</v>
      </c>
      <c r="E65" s="26">
        <f t="shared" si="13"/>
        <v>30.236967932066996</v>
      </c>
      <c r="F65" s="26">
        <f t="shared" si="20"/>
        <v>13.220207139339227</v>
      </c>
      <c r="G65" s="26">
        <f t="shared" si="21"/>
        <v>81.37799068795691</v>
      </c>
      <c r="H65" s="26">
        <f t="shared" si="14"/>
        <v>33.664355255040263</v>
      </c>
      <c r="I65" s="26">
        <f t="shared" si="22"/>
        <v>32.947011247470357</v>
      </c>
      <c r="J65" s="27">
        <f t="shared" si="15"/>
        <v>0.55783101065299667</v>
      </c>
      <c r="K65" s="155">
        <f t="shared" si="23"/>
        <v>1698.644621542132</v>
      </c>
      <c r="L65" s="27">
        <f t="shared" si="24"/>
        <v>1075.833893478009</v>
      </c>
      <c r="M65" s="155">
        <f>'b（手動）計算用'!L68</f>
        <v>0</v>
      </c>
      <c r="N65" s="155">
        <f t="shared" si="25"/>
        <v>914.27422972484783</v>
      </c>
      <c r="O65" s="26">
        <f t="shared" si="16"/>
        <v>30.236967932066996</v>
      </c>
      <c r="P65" s="26">
        <f t="shared" si="26"/>
        <v>13.220207139339227</v>
      </c>
      <c r="Q65" s="26">
        <f t="shared" si="17"/>
        <v>81.37799068795691</v>
      </c>
      <c r="R65" s="26">
        <f t="shared" si="18"/>
        <v>33.664355255040263</v>
      </c>
      <c r="S65" s="26">
        <f t="shared" si="27"/>
        <v>32.947011247470357</v>
      </c>
      <c r="T65" s="27">
        <f t="shared" si="28"/>
        <v>1075.833893478009</v>
      </c>
      <c r="U65" s="27">
        <f t="shared" si="29"/>
        <v>0</v>
      </c>
      <c r="V65" s="27">
        <f t="shared" si="30"/>
        <v>1486.999116646497</v>
      </c>
      <c r="W65" s="27">
        <f t="shared" si="31"/>
        <v>1249.2064453935645</v>
      </c>
      <c r="X65" s="15">
        <f t="shared" si="32"/>
        <v>0.86121385095724978</v>
      </c>
      <c r="Y65" s="15">
        <f t="shared" si="19"/>
        <v>0.86121385095724978</v>
      </c>
    </row>
    <row r="66" spans="1:25">
      <c r="A66" s="14">
        <f>'b（手動）計算用'!E69</f>
        <v>74</v>
      </c>
      <c r="B66" s="156">
        <f>'b（手動）計算用'!F69</f>
        <v>914.27422972484783</v>
      </c>
      <c r="C66" s="26">
        <f xml:space="preserve"> '樹高計算 '!N185</f>
        <v>29.763894777407348</v>
      </c>
      <c r="D66" s="26">
        <f>'b（手動）計算用'!G69</f>
        <v>29.763894777407348</v>
      </c>
      <c r="E66" s="26">
        <f t="shared" si="13"/>
        <v>30.236967932066996</v>
      </c>
      <c r="F66" s="26">
        <f t="shared" ref="F66:F97" si="33">$AB$11+$AB$12*D66+$AB$13*E66*D66/100</f>
        <v>13.276968202125852</v>
      </c>
      <c r="G66" s="26">
        <f t="shared" ref="G66:G97" si="34">L66/F66</f>
        <v>81.704609189933052</v>
      </c>
      <c r="H66" s="26">
        <f t="shared" si="14"/>
        <v>33.731845189953091</v>
      </c>
      <c r="I66" s="26">
        <f t="shared" ref="I66:I97" si="35">$AB$15+$AB$16*H66+$AB$17*E66*D66/100</f>
        <v>33.010773162719303</v>
      </c>
      <c r="J66" s="27">
        <f t="shared" si="15"/>
        <v>0.56181143228379438</v>
      </c>
      <c r="K66" s="155">
        <f t="shared" ref="K66:K97" si="36">1/(1/$AB$29-J66/($AB$26*$AB$29^$AB$27))</f>
        <v>1694.7682812207734</v>
      </c>
      <c r="L66" s="27">
        <f t="shared" ref="L66:L97" si="37">($AB$2*D66^$AB$3+$AB$4*D66^$AB$5/B66)^-1</f>
        <v>1084.7894981818608</v>
      </c>
      <c r="M66" s="155">
        <f>'b（手動）計算用'!L69</f>
        <v>0</v>
      </c>
      <c r="N66" s="155">
        <f t="shared" ref="N66:N97" si="38">B66-M66</f>
        <v>914.27422972484783</v>
      </c>
      <c r="O66" s="26">
        <f t="shared" si="16"/>
        <v>30.236967932066996</v>
      </c>
      <c r="P66" s="26">
        <f t="shared" ref="P66:P97" si="39">$AB$11+$AB$12*D66+$AB$13*O66*D66/100</f>
        <v>13.276968202125852</v>
      </c>
      <c r="Q66" s="26">
        <f t="shared" si="17"/>
        <v>81.704609189933052</v>
      </c>
      <c r="R66" s="26">
        <f t="shared" si="18"/>
        <v>33.731845189953091</v>
      </c>
      <c r="S66" s="26">
        <f t="shared" ref="S66:S97" si="40">$AB$15+$AB$16*R66+$AB$17*O66*D66/100</f>
        <v>33.010773162719303</v>
      </c>
      <c r="T66" s="27">
        <f t="shared" ref="T66:T97" si="41">($AB$2*D66^$AB$3+$AB$4*D66^$AB$5/N66)^-1</f>
        <v>1084.7894981818608</v>
      </c>
      <c r="U66" s="27">
        <f t="shared" ref="U66:U97" si="42">L66-T66</f>
        <v>0</v>
      </c>
      <c r="V66" s="27">
        <f t="shared" ref="V66:V97" si="43">$AB$22*D66^$AB$21</f>
        <v>1477.7582384683042</v>
      </c>
      <c r="W66" s="27">
        <f t="shared" ref="W66:W97" si="44">($AB$2*D66^$AB$3+$AB$4*D66^$AB$5/V66)^-1</f>
        <v>1256.7846209923464</v>
      </c>
      <c r="X66" s="15">
        <f t="shared" ref="X66:X97" si="45">L66/W66</f>
        <v>0.86314669996941906</v>
      </c>
      <c r="Y66" s="15">
        <f t="shared" si="19"/>
        <v>0.86314669996941906</v>
      </c>
    </row>
    <row r="67" spans="1:25">
      <c r="A67" s="14">
        <f>'b（手動）計算用'!E70</f>
        <v>75</v>
      </c>
      <c r="B67" s="156">
        <f>'b（手動）計算用'!F70</f>
        <v>914.27422972484783</v>
      </c>
      <c r="C67" s="26">
        <f xml:space="preserve"> '樹高計算 '!N186</f>
        <v>29.897631157755349</v>
      </c>
      <c r="D67" s="26">
        <f>'b（手動）計算用'!G70</f>
        <v>29.897631157755349</v>
      </c>
      <c r="E67" s="26">
        <f t="shared" ref="E67:E112" si="46">SQRT(B67)</f>
        <v>30.236967932066996</v>
      </c>
      <c r="F67" s="26">
        <f t="shared" si="33"/>
        <v>13.332212751142489</v>
      </c>
      <c r="G67" s="26">
        <f t="shared" si="34"/>
        <v>82.021492530039865</v>
      </c>
      <c r="H67" s="26">
        <f t="shared" ref="H67:H112" si="47">200*SQRT(G67/(PI()*B67))</f>
        <v>33.797194720467893</v>
      </c>
      <c r="I67" s="26">
        <f t="shared" si="35"/>
        <v>33.072496687320559</v>
      </c>
      <c r="J67" s="27">
        <f t="shared" ref="J67:J112" si="48">($AB$2*C67^$AB$3*$AB$29+$AB$4*C67^$AB$5)^-1</f>
        <v>0.56569202976988664</v>
      </c>
      <c r="K67" s="155">
        <f t="shared" si="36"/>
        <v>1691.0061488037268</v>
      </c>
      <c r="L67" s="27">
        <f t="shared" si="37"/>
        <v>1093.5279885767359</v>
      </c>
      <c r="M67" s="155">
        <f>'b（手動）計算用'!L70</f>
        <v>0</v>
      </c>
      <c r="N67" s="155">
        <f t="shared" si="38"/>
        <v>914.27422972484783</v>
      </c>
      <c r="O67" s="26">
        <f t="shared" ref="O67:O112" si="49">SQRT(N67)</f>
        <v>30.236967932066996</v>
      </c>
      <c r="P67" s="26">
        <f t="shared" si="39"/>
        <v>13.332212751142489</v>
      </c>
      <c r="Q67" s="26">
        <f t="shared" ref="Q67:Q112" si="50">T67/P67</f>
        <v>82.021492530039865</v>
      </c>
      <c r="R67" s="26">
        <f t="shared" ref="R67:R112" si="51">200*SQRT(Q67/(PI()*N67))</f>
        <v>33.797194720467893</v>
      </c>
      <c r="S67" s="26">
        <f t="shared" si="40"/>
        <v>33.072496687320559</v>
      </c>
      <c r="T67" s="27">
        <f t="shared" si="41"/>
        <v>1093.5279885767359</v>
      </c>
      <c r="U67" s="27">
        <f t="shared" si="42"/>
        <v>0</v>
      </c>
      <c r="V67" s="27">
        <f t="shared" si="43"/>
        <v>1468.8599052881327</v>
      </c>
      <c r="W67" s="27">
        <f t="shared" si="44"/>
        <v>1264.1706497694261</v>
      </c>
      <c r="X67" s="15">
        <f t="shared" si="45"/>
        <v>0.86501611849332682</v>
      </c>
      <c r="Y67" s="15">
        <f t="shared" ref="Y67:Y112" si="52">T67/W67</f>
        <v>0.86501611849332682</v>
      </c>
    </row>
    <row r="68" spans="1:25">
      <c r="A68" s="14">
        <f>'b（手動）計算用'!E71</f>
        <v>76</v>
      </c>
      <c r="B68" s="156">
        <f>'b（手動）計算用'!F71</f>
        <v>914.27422972484783</v>
      </c>
      <c r="C68" s="26">
        <f xml:space="preserve"> '樹高計算 '!N187</f>
        <v>30.027795836151071</v>
      </c>
      <c r="D68" s="26">
        <f>'b（手動）計算用'!G71</f>
        <v>30.027795836151071</v>
      </c>
      <c r="E68" s="26">
        <f t="shared" si="46"/>
        <v>30.236967932066996</v>
      </c>
      <c r="F68" s="26">
        <f t="shared" si="33"/>
        <v>13.385981882153475</v>
      </c>
      <c r="G68" s="26">
        <f t="shared" si="34"/>
        <v>82.328961192230238</v>
      </c>
      <c r="H68" s="26">
        <f t="shared" si="47"/>
        <v>33.860482144150964</v>
      </c>
      <c r="I68" s="26">
        <f t="shared" si="35"/>
        <v>33.132257209330369</v>
      </c>
      <c r="J68" s="27">
        <f t="shared" si="48"/>
        <v>0.56947513943268291</v>
      </c>
      <c r="K68" s="155">
        <f t="shared" si="36"/>
        <v>1687.3545720354739</v>
      </c>
      <c r="L68" s="27">
        <f t="shared" si="37"/>
        <v>1102.0539828957105</v>
      </c>
      <c r="M68" s="155">
        <f>'b（手動）計算用'!L71</f>
        <v>0</v>
      </c>
      <c r="N68" s="155">
        <f t="shared" si="38"/>
        <v>914.27422972484783</v>
      </c>
      <c r="O68" s="26">
        <f t="shared" si="49"/>
        <v>30.236967932066996</v>
      </c>
      <c r="P68" s="26">
        <f t="shared" si="39"/>
        <v>13.385981882153475</v>
      </c>
      <c r="Q68" s="26">
        <f t="shared" si="50"/>
        <v>82.328961192230238</v>
      </c>
      <c r="R68" s="26">
        <f t="shared" si="51"/>
        <v>33.860482144150964</v>
      </c>
      <c r="S68" s="26">
        <f t="shared" si="40"/>
        <v>33.132257209330369</v>
      </c>
      <c r="T68" s="27">
        <f t="shared" si="41"/>
        <v>1102.0539828957105</v>
      </c>
      <c r="U68" s="27">
        <f t="shared" si="42"/>
        <v>0</v>
      </c>
      <c r="V68" s="27">
        <f t="shared" si="43"/>
        <v>1460.2884805110361</v>
      </c>
      <c r="W68" s="27">
        <f t="shared" si="44"/>
        <v>1271.3691682942399</v>
      </c>
      <c r="X68" s="15">
        <f t="shared" si="45"/>
        <v>0.86682453089082323</v>
      </c>
      <c r="Y68" s="15">
        <f t="shared" si="52"/>
        <v>0.86682453089082323</v>
      </c>
    </row>
    <row r="69" spans="1:25">
      <c r="A69" s="14">
        <f>'b（手動）計算用'!E72</f>
        <v>77</v>
      </c>
      <c r="B69" s="156">
        <f>'b（手動）計算用'!F72</f>
        <v>914.27422972484783</v>
      </c>
      <c r="C69" s="26">
        <f xml:space="preserve"> '樹高計算 '!N188</f>
        <v>30.154485517118435</v>
      </c>
      <c r="D69" s="26">
        <f>'b（手動）計算用'!G72</f>
        <v>30.154485517118435</v>
      </c>
      <c r="E69" s="26">
        <f t="shared" si="46"/>
        <v>30.236967932066996</v>
      </c>
      <c r="F69" s="26">
        <f t="shared" si="33"/>
        <v>13.438315542387819</v>
      </c>
      <c r="G69" s="26">
        <f t="shared" si="34"/>
        <v>82.627323461317985</v>
      </c>
      <c r="H69" s="26">
        <f t="shared" si="47"/>
        <v>33.921782284372526</v>
      </c>
      <c r="I69" s="26">
        <f t="shared" si="35"/>
        <v>33.190126733114376</v>
      </c>
      <c r="J69" s="27">
        <f t="shared" si="48"/>
        <v>0.57316305385938071</v>
      </c>
      <c r="K69" s="155">
        <f t="shared" si="36"/>
        <v>1683.8100290687141</v>
      </c>
      <c r="L69" s="27">
        <f t="shared" si="37"/>
        <v>1110.3720450961353</v>
      </c>
      <c r="M69" s="155">
        <f>'b（手動）計算用'!L72</f>
        <v>0</v>
      </c>
      <c r="N69" s="155">
        <f t="shared" si="38"/>
        <v>914.27422972484783</v>
      </c>
      <c r="O69" s="26">
        <f t="shared" si="49"/>
        <v>30.236967932066996</v>
      </c>
      <c r="P69" s="26">
        <f t="shared" si="39"/>
        <v>13.438315542387819</v>
      </c>
      <c r="Q69" s="26">
        <f t="shared" si="50"/>
        <v>82.627323461317985</v>
      </c>
      <c r="R69" s="26">
        <f t="shared" si="51"/>
        <v>33.921782284372526</v>
      </c>
      <c r="S69" s="26">
        <f t="shared" si="40"/>
        <v>33.190126733114376</v>
      </c>
      <c r="T69" s="27">
        <f t="shared" si="41"/>
        <v>1110.3720450961353</v>
      </c>
      <c r="U69" s="27">
        <f t="shared" si="42"/>
        <v>0</v>
      </c>
      <c r="V69" s="27">
        <f t="shared" si="43"/>
        <v>1452.0292228919002</v>
      </c>
      <c r="W69" s="27">
        <f t="shared" si="44"/>
        <v>1278.384715743689</v>
      </c>
      <c r="X69" s="15">
        <f t="shared" si="45"/>
        <v>0.86857424953660067</v>
      </c>
      <c r="Y69" s="15">
        <f t="shared" si="52"/>
        <v>0.86857424953660067</v>
      </c>
    </row>
    <row r="70" spans="1:25">
      <c r="A70" s="14">
        <f>'b（手動）計算用'!E73</f>
        <v>78</v>
      </c>
      <c r="B70" s="156">
        <f>'b（手動）計算用'!F73</f>
        <v>914.27422972484783</v>
      </c>
      <c r="C70" s="26">
        <f xml:space="preserve"> '樹高計算 '!N189</f>
        <v>30.277794204235548</v>
      </c>
      <c r="D70" s="26">
        <f>'b（手動）計算用'!G73</f>
        <v>30.277794204235548</v>
      </c>
      <c r="E70" s="26">
        <f t="shared" si="46"/>
        <v>30.236967932066996</v>
      </c>
      <c r="F70" s="26">
        <f t="shared" si="33"/>
        <v>13.489252563353181</v>
      </c>
      <c r="G70" s="26">
        <f t="shared" si="34"/>
        <v>82.91687596524261</v>
      </c>
      <c r="H70" s="26">
        <f t="shared" si="47"/>
        <v>33.98116667839512</v>
      </c>
      <c r="I70" s="26">
        <f t="shared" si="35"/>
        <v>33.246174064215388</v>
      </c>
      <c r="J70" s="27">
        <f t="shared" si="48"/>
        <v>0.57675802179473445</v>
      </c>
      <c r="K70" s="155">
        <f t="shared" si="36"/>
        <v>1680.3691233638381</v>
      </c>
      <c r="L70" s="27">
        <f t="shared" si="37"/>
        <v>1118.4866816593867</v>
      </c>
      <c r="M70" s="155">
        <f>'b（手動）計算用'!L73</f>
        <v>0</v>
      </c>
      <c r="N70" s="155">
        <f t="shared" si="38"/>
        <v>914.27422972484783</v>
      </c>
      <c r="O70" s="26">
        <f t="shared" si="49"/>
        <v>30.236967932066996</v>
      </c>
      <c r="P70" s="26">
        <f t="shared" si="39"/>
        <v>13.489252563353181</v>
      </c>
      <c r="Q70" s="26">
        <f t="shared" si="50"/>
        <v>82.91687596524261</v>
      </c>
      <c r="R70" s="26">
        <f t="shared" si="51"/>
        <v>33.98116667839512</v>
      </c>
      <c r="S70" s="26">
        <f t="shared" si="40"/>
        <v>33.246174064215388</v>
      </c>
      <c r="T70" s="27">
        <f t="shared" si="41"/>
        <v>1118.4866816593867</v>
      </c>
      <c r="U70" s="27">
        <f t="shared" si="42"/>
        <v>0</v>
      </c>
      <c r="V70" s="27">
        <f t="shared" si="43"/>
        <v>1444.0682239701152</v>
      </c>
      <c r="W70" s="27">
        <f t="shared" si="44"/>
        <v>1285.2217347585251</v>
      </c>
      <c r="X70" s="15">
        <f t="shared" si="45"/>
        <v>0.87026748101916784</v>
      </c>
      <c r="Y70" s="15">
        <f t="shared" si="52"/>
        <v>0.87026748101916784</v>
      </c>
    </row>
    <row r="71" spans="1:25">
      <c r="A71" s="14">
        <f>'b（手動）計算用'!E74</f>
        <v>79</v>
      </c>
      <c r="B71" s="156">
        <f>'b（手動）計算用'!F74</f>
        <v>914.27422972484783</v>
      </c>
      <c r="C71" s="26">
        <f xml:space="preserve"> '樹高計算 '!N190</f>
        <v>30.397813277842882</v>
      </c>
      <c r="D71" s="26">
        <f>'b（手動）計算用'!G74</f>
        <v>30.397813277842882</v>
      </c>
      <c r="E71" s="26">
        <f t="shared" si="46"/>
        <v>30.236967932066996</v>
      </c>
      <c r="F71" s="26">
        <f t="shared" si="33"/>
        <v>13.53883069293601</v>
      </c>
      <c r="G71" s="26">
        <f t="shared" si="34"/>
        <v>83.197904190992759</v>
      </c>
      <c r="H71" s="26">
        <f t="shared" si="47"/>
        <v>34.038703753551403</v>
      </c>
      <c r="I71" s="26">
        <f t="shared" si="35"/>
        <v>33.300464982436388</v>
      </c>
      <c r="J71" s="27">
        <f t="shared" si="48"/>
        <v>0.58026224814629723</v>
      </c>
      <c r="K71" s="155">
        <f t="shared" si="36"/>
        <v>1677.0285787746329</v>
      </c>
      <c r="L71" s="27">
        <f t="shared" si="37"/>
        <v>1126.4023388489622</v>
      </c>
      <c r="M71" s="155">
        <f>'b（手動）計算用'!L74</f>
        <v>0</v>
      </c>
      <c r="N71" s="155">
        <f t="shared" si="38"/>
        <v>914.27422972484783</v>
      </c>
      <c r="O71" s="26">
        <f t="shared" si="49"/>
        <v>30.236967932066996</v>
      </c>
      <c r="P71" s="26">
        <f t="shared" si="39"/>
        <v>13.53883069293601</v>
      </c>
      <c r="Q71" s="26">
        <f t="shared" si="50"/>
        <v>83.197904190992759</v>
      </c>
      <c r="R71" s="26">
        <f t="shared" si="51"/>
        <v>34.038703753551403</v>
      </c>
      <c r="S71" s="26">
        <f t="shared" si="40"/>
        <v>33.300464982436388</v>
      </c>
      <c r="T71" s="27">
        <f t="shared" si="41"/>
        <v>1126.4023388489622</v>
      </c>
      <c r="U71" s="27">
        <f t="shared" si="42"/>
        <v>0</v>
      </c>
      <c r="V71" s="27">
        <f t="shared" si="43"/>
        <v>1436.3923506223841</v>
      </c>
      <c r="W71" s="27">
        <f t="shared" si="44"/>
        <v>1291.8845724305233</v>
      </c>
      <c r="X71" s="15">
        <f t="shared" si="45"/>
        <v>0.8719063319486613</v>
      </c>
      <c r="Y71" s="15">
        <f t="shared" si="52"/>
        <v>0.8719063319486613</v>
      </c>
    </row>
    <row r="72" spans="1:25">
      <c r="A72" s="14">
        <f>'b（手動）計算用'!E75</f>
        <v>80</v>
      </c>
      <c r="B72" s="156">
        <f>'b（手動）計算用'!F75</f>
        <v>914.27422972484783</v>
      </c>
      <c r="C72" s="26">
        <f xml:space="preserve"> '樹高計算 '!N191</f>
        <v>30.514631570930302</v>
      </c>
      <c r="D72" s="26">
        <f>'b（手動）計算用'!G75</f>
        <v>30.514631570930302</v>
      </c>
      <c r="E72" s="26">
        <f t="shared" si="46"/>
        <v>30.236967932066996</v>
      </c>
      <c r="F72" s="26">
        <f t="shared" si="33"/>
        <v>13.587086626749336</v>
      </c>
      <c r="G72" s="26">
        <f t="shared" si="34"/>
        <v>83.470682975341973</v>
      </c>
      <c r="H72" s="26">
        <f t="shared" si="47"/>
        <v>34.094458992344428</v>
      </c>
      <c r="I72" s="26">
        <f t="shared" si="35"/>
        <v>33.353062403968352</v>
      </c>
      <c r="J72" s="27">
        <f t="shared" si="48"/>
        <v>0.58367789408864001</v>
      </c>
      <c r="K72" s="155">
        <f t="shared" si="36"/>
        <v>1673.7852348188915</v>
      </c>
      <c r="L72" s="27">
        <f t="shared" si="37"/>
        <v>1134.1234003799025</v>
      </c>
      <c r="M72" s="155">
        <f>'b（手動）計算用'!L75</f>
        <v>0</v>
      </c>
      <c r="N72" s="155">
        <f t="shared" si="38"/>
        <v>914.27422972484783</v>
      </c>
      <c r="O72" s="26">
        <f t="shared" si="49"/>
        <v>30.236967932066996</v>
      </c>
      <c r="P72" s="26">
        <f t="shared" si="39"/>
        <v>13.587086626749336</v>
      </c>
      <c r="Q72" s="26">
        <f t="shared" si="50"/>
        <v>83.470682975341973</v>
      </c>
      <c r="R72" s="26">
        <f t="shared" si="51"/>
        <v>34.094458992344428</v>
      </c>
      <c r="S72" s="26">
        <f t="shared" si="40"/>
        <v>33.353062403968352</v>
      </c>
      <c r="T72" s="27">
        <f t="shared" si="41"/>
        <v>1134.1234003799025</v>
      </c>
      <c r="U72" s="27">
        <f t="shared" si="42"/>
        <v>0</v>
      </c>
      <c r="V72" s="27">
        <f t="shared" si="43"/>
        <v>1428.9891922591562</v>
      </c>
      <c r="W72" s="27">
        <f t="shared" si="44"/>
        <v>1298.3774814002891</v>
      </c>
      <c r="X72" s="15">
        <f t="shared" si="45"/>
        <v>0.87349281439844451</v>
      </c>
      <c r="Y72" s="15">
        <f t="shared" si="52"/>
        <v>0.87349281439844451</v>
      </c>
    </row>
    <row r="73" spans="1:25">
      <c r="A73" s="14">
        <f>'b（手動）計算用'!E76</f>
        <v>81</v>
      </c>
      <c r="B73" s="156">
        <f>'b（手動）計算用'!F76</f>
        <v>914.27422972484783</v>
      </c>
      <c r="C73" s="26">
        <f xml:space="preserve"> '樹高計算 '!N192</f>
        <v>30.628335443136372</v>
      </c>
      <c r="D73" s="26">
        <f>'b（手動）計算用'!G76</f>
        <v>30.628335443136372</v>
      </c>
      <c r="E73" s="26">
        <f t="shared" si="46"/>
        <v>30.236967932066996</v>
      </c>
      <c r="F73" s="26">
        <f t="shared" si="33"/>
        <v>13.63405603870085</v>
      </c>
      <c r="G73" s="26">
        <f t="shared" si="34"/>
        <v>83.73547697153333</v>
      </c>
      <c r="H73" s="26">
        <f t="shared" si="47"/>
        <v>34.14849508724091</v>
      </c>
      <c r="I73" s="26">
        <f t="shared" si="35"/>
        <v>33.40402653332923</v>
      </c>
      <c r="J73" s="27">
        <f t="shared" si="48"/>
        <v>0.58700707725369594</v>
      </c>
      <c r="K73" s="155">
        <f t="shared" si="36"/>
        <v>1670.6360421315167</v>
      </c>
      <c r="L73" s="27">
        <f t="shared" si="37"/>
        <v>1141.6541854572299</v>
      </c>
      <c r="M73" s="155">
        <f>'b（手動）計算用'!L76</f>
        <v>0</v>
      </c>
      <c r="N73" s="155">
        <f t="shared" si="38"/>
        <v>914.27422972484783</v>
      </c>
      <c r="O73" s="26">
        <f t="shared" si="49"/>
        <v>30.236967932066996</v>
      </c>
      <c r="P73" s="26">
        <f t="shared" si="39"/>
        <v>13.63405603870085</v>
      </c>
      <c r="Q73" s="26">
        <f t="shared" si="50"/>
        <v>83.73547697153333</v>
      </c>
      <c r="R73" s="26">
        <f t="shared" si="51"/>
        <v>34.14849508724091</v>
      </c>
      <c r="S73" s="26">
        <f t="shared" si="40"/>
        <v>33.40402653332923</v>
      </c>
      <c r="T73" s="27">
        <f t="shared" si="41"/>
        <v>1141.6541854572299</v>
      </c>
      <c r="U73" s="27">
        <f t="shared" si="42"/>
        <v>0</v>
      </c>
      <c r="V73" s="27">
        <f t="shared" si="43"/>
        <v>1421.8470122390672</v>
      </c>
      <c r="W73" s="27">
        <f t="shared" si="44"/>
        <v>1304.7046210479564</v>
      </c>
      <c r="X73" s="15">
        <f t="shared" si="45"/>
        <v>0.87502885100555394</v>
      </c>
      <c r="Y73" s="15">
        <f t="shared" si="52"/>
        <v>0.87502885100555394</v>
      </c>
    </row>
    <row r="74" spans="1:25">
      <c r="A74" s="14">
        <f>'b（手動）計算用'!E77</f>
        <v>82</v>
      </c>
      <c r="B74" s="156">
        <f>'b（手動）計算用'!F77</f>
        <v>914.27422972484783</v>
      </c>
      <c r="C74" s="26">
        <f xml:space="preserve"> '樹高計算 '!N193</f>
        <v>30.739008852816088</v>
      </c>
      <c r="D74" s="26">
        <f>'b（手動）計算用'!G77</f>
        <v>30.739008852816088</v>
      </c>
      <c r="E74" s="26">
        <f t="shared" si="46"/>
        <v>30.236967932066996</v>
      </c>
      <c r="F74" s="26">
        <f t="shared" si="33"/>
        <v>13.679773610762986</v>
      </c>
      <c r="G74" s="26">
        <f t="shared" si="34"/>
        <v>83.992541093037488</v>
      </c>
      <c r="H74" s="26">
        <f t="shared" si="47"/>
        <v>34.20087208587325</v>
      </c>
      <c r="I74" s="26">
        <f t="shared" si="35"/>
        <v>33.453415005825867</v>
      </c>
      <c r="J74" s="27">
        <f t="shared" si="48"/>
        <v>0.5902518719958888</v>
      </c>
      <c r="K74" s="155">
        <f t="shared" si="36"/>
        <v>1667.5780580967696</v>
      </c>
      <c r="L74" s="27">
        <f t="shared" si="37"/>
        <v>1148.9989471454599</v>
      </c>
      <c r="M74" s="155">
        <f>'b（手動）計算用'!L77</f>
        <v>0</v>
      </c>
      <c r="N74" s="155">
        <f t="shared" si="38"/>
        <v>914.27422972484783</v>
      </c>
      <c r="O74" s="26">
        <f t="shared" si="49"/>
        <v>30.236967932066996</v>
      </c>
      <c r="P74" s="26">
        <f t="shared" si="39"/>
        <v>13.679773610762986</v>
      </c>
      <c r="Q74" s="26">
        <f t="shared" si="50"/>
        <v>83.992541093037488</v>
      </c>
      <c r="R74" s="26">
        <f t="shared" si="51"/>
        <v>34.20087208587325</v>
      </c>
      <c r="S74" s="26">
        <f t="shared" si="40"/>
        <v>33.453415005825867</v>
      </c>
      <c r="T74" s="27">
        <f t="shared" si="41"/>
        <v>1148.9989471454599</v>
      </c>
      <c r="U74" s="27">
        <f t="shared" si="42"/>
        <v>0</v>
      </c>
      <c r="V74" s="27">
        <f t="shared" si="43"/>
        <v>1414.9547031190309</v>
      </c>
      <c r="W74" s="27">
        <f t="shared" si="44"/>
        <v>1310.8700587612866</v>
      </c>
      <c r="X74" s="15">
        <f t="shared" si="45"/>
        <v>0.87651627975332069</v>
      </c>
      <c r="Y74" s="15">
        <f t="shared" si="52"/>
        <v>0.87651627975332069</v>
      </c>
    </row>
    <row r="75" spans="1:25">
      <c r="A75" s="14">
        <f>'b（手動）計算用'!E78</f>
        <v>83</v>
      </c>
      <c r="B75" s="156">
        <f>'b（手動）計算用'!F78</f>
        <v>914.27422972484783</v>
      </c>
      <c r="C75" s="26">
        <f xml:space="preserve"> '樹高計算 '!N194</f>
        <v>30.846733427152206</v>
      </c>
      <c r="D75" s="26">
        <f>'b（手動）計算用'!G78</f>
        <v>30.846733427152206</v>
      </c>
      <c r="E75" s="26">
        <f t="shared" si="46"/>
        <v>30.236967932066996</v>
      </c>
      <c r="F75" s="26">
        <f t="shared" si="33"/>
        <v>13.724273061934923</v>
      </c>
      <c r="G75" s="26">
        <f t="shared" si="34"/>
        <v>84.242120935479321</v>
      </c>
      <c r="H75" s="26">
        <f t="shared" si="47"/>
        <v>34.251647527312613</v>
      </c>
      <c r="I75" s="26">
        <f t="shared" si="35"/>
        <v>33.501283021197061</v>
      </c>
      <c r="J75" s="27">
        <f t="shared" si="48"/>
        <v>0.59341430972201081</v>
      </c>
      <c r="K75" s="155">
        <f t="shared" si="36"/>
        <v>1664.6084426556456</v>
      </c>
      <c r="L75" s="27">
        <f t="shared" si="37"/>
        <v>1156.1618710350629</v>
      </c>
      <c r="M75" s="155">
        <f>'b（手動）計算用'!L78</f>
        <v>0</v>
      </c>
      <c r="N75" s="155">
        <f t="shared" si="38"/>
        <v>914.27422972484783</v>
      </c>
      <c r="O75" s="26">
        <f t="shared" si="49"/>
        <v>30.236967932066996</v>
      </c>
      <c r="P75" s="26">
        <f t="shared" si="39"/>
        <v>13.724273061934923</v>
      </c>
      <c r="Q75" s="26">
        <f t="shared" si="50"/>
        <v>84.242120935479321</v>
      </c>
      <c r="R75" s="26">
        <f t="shared" si="51"/>
        <v>34.251647527312613</v>
      </c>
      <c r="S75" s="26">
        <f t="shared" si="40"/>
        <v>33.501283021197061</v>
      </c>
      <c r="T75" s="27">
        <f t="shared" si="41"/>
        <v>1156.1618710350629</v>
      </c>
      <c r="U75" s="27">
        <f t="shared" si="42"/>
        <v>0</v>
      </c>
      <c r="V75" s="27">
        <f t="shared" si="43"/>
        <v>1408.3017453961254</v>
      </c>
      <c r="W75" s="27">
        <f t="shared" si="44"/>
        <v>1316.8777712676017</v>
      </c>
      <c r="X75" s="15">
        <f t="shared" si="45"/>
        <v>0.87795685845783789</v>
      </c>
      <c r="Y75" s="15">
        <f t="shared" si="52"/>
        <v>0.87795685845783789</v>
      </c>
    </row>
    <row r="76" spans="1:25">
      <c r="A76" s="14">
        <f>'b（手動）計算用'!E79</f>
        <v>84</v>
      </c>
      <c r="B76" s="156">
        <f>'b（手動）計算用'!F79</f>
        <v>914.27422972484783</v>
      </c>
      <c r="C76" s="26">
        <f xml:space="preserve"> '樹高計算 '!N195</f>
        <v>30.951588530301056</v>
      </c>
      <c r="D76" s="26">
        <f>'b（手動）計算用'!G79</f>
        <v>30.951588530301056</v>
      </c>
      <c r="E76" s="26">
        <f t="shared" si="46"/>
        <v>30.236967932066996</v>
      </c>
      <c r="F76" s="26">
        <f t="shared" si="33"/>
        <v>13.767587176392619</v>
      </c>
      <c r="G76" s="26">
        <f t="shared" si="34"/>
        <v>84.484453177800034</v>
      </c>
      <c r="H76" s="26">
        <f t="shared" si="47"/>
        <v>34.300876570027405</v>
      </c>
      <c r="I76" s="26">
        <f t="shared" si="35"/>
        <v>33.547683469047776</v>
      </c>
      <c r="J76" s="27">
        <f t="shared" si="48"/>
        <v>0.5964963792769824</v>
      </c>
      <c r="K76" s="155">
        <f t="shared" si="36"/>
        <v>1661.7244542837959</v>
      </c>
      <c r="L76" s="27">
        <f t="shared" si="37"/>
        <v>1163.1470741752223</v>
      </c>
      <c r="M76" s="155">
        <f>'b（手動）計算用'!L79</f>
        <v>0</v>
      </c>
      <c r="N76" s="155">
        <f t="shared" si="38"/>
        <v>914.27422972484783</v>
      </c>
      <c r="O76" s="26">
        <f t="shared" si="49"/>
        <v>30.236967932066996</v>
      </c>
      <c r="P76" s="26">
        <f t="shared" si="39"/>
        <v>13.767587176392619</v>
      </c>
      <c r="Q76" s="26">
        <f t="shared" si="50"/>
        <v>84.484453177800034</v>
      </c>
      <c r="R76" s="26">
        <f t="shared" si="51"/>
        <v>34.300876570027405</v>
      </c>
      <c r="S76" s="26">
        <f t="shared" si="40"/>
        <v>33.547683469047776</v>
      </c>
      <c r="T76" s="27">
        <f t="shared" si="41"/>
        <v>1163.1470741752223</v>
      </c>
      <c r="U76" s="27">
        <f t="shared" si="42"/>
        <v>0</v>
      </c>
      <c r="V76" s="27">
        <f t="shared" si="43"/>
        <v>1401.878169431694</v>
      </c>
      <c r="W76" s="27">
        <f t="shared" si="44"/>
        <v>1322.7316460176892</v>
      </c>
      <c r="X76" s="15">
        <f t="shared" si="45"/>
        <v>0.87935226897842533</v>
      </c>
      <c r="Y76" s="15">
        <f t="shared" si="52"/>
        <v>0.87935226897842533</v>
      </c>
    </row>
    <row r="77" spans="1:25">
      <c r="A77" s="14">
        <f>'b（手動）計算用'!E80</f>
        <v>85</v>
      </c>
      <c r="B77" s="156">
        <f>'b（手動）計算用'!F80</f>
        <v>914.27422972484783</v>
      </c>
      <c r="C77" s="26">
        <f xml:space="preserve"> '樹高計算 '!N196</f>
        <v>31.053651329577239</v>
      </c>
      <c r="D77" s="26">
        <f>'b（手動）計算用'!G80</f>
        <v>31.053651329577239</v>
      </c>
      <c r="E77" s="26">
        <f t="shared" si="46"/>
        <v>30.236967932066996</v>
      </c>
      <c r="F77" s="26">
        <f t="shared" si="33"/>
        <v>13.809747830828726</v>
      </c>
      <c r="G77" s="26">
        <f t="shared" si="34"/>
        <v>84.719765963687038</v>
      </c>
      <c r="H77" s="26">
        <f t="shared" si="47"/>
        <v>34.348612112096646</v>
      </c>
      <c r="I77" s="26">
        <f t="shared" si="35"/>
        <v>33.592667046640045</v>
      </c>
      <c r="J77" s="27">
        <f t="shared" si="48"/>
        <v>0.5995000273776675</v>
      </c>
      <c r="K77" s="155">
        <f t="shared" si="36"/>
        <v>1658.9234461350231</v>
      </c>
      <c r="L77" s="27">
        <f t="shared" si="37"/>
        <v>1169.9586042453445</v>
      </c>
      <c r="M77" s="155">
        <f>'b（手動）計算用'!L80</f>
        <v>0</v>
      </c>
      <c r="N77" s="155">
        <f t="shared" si="38"/>
        <v>914.27422972484783</v>
      </c>
      <c r="O77" s="26">
        <f t="shared" si="49"/>
        <v>30.236967932066996</v>
      </c>
      <c r="P77" s="26">
        <f t="shared" si="39"/>
        <v>13.809747830828726</v>
      </c>
      <c r="Q77" s="26">
        <f t="shared" si="50"/>
        <v>84.719765963687038</v>
      </c>
      <c r="R77" s="26">
        <f t="shared" si="51"/>
        <v>34.348612112096646</v>
      </c>
      <c r="S77" s="26">
        <f t="shared" si="40"/>
        <v>33.592667046640045</v>
      </c>
      <c r="T77" s="27">
        <f t="shared" si="41"/>
        <v>1169.9586042453445</v>
      </c>
      <c r="U77" s="27">
        <f t="shared" si="42"/>
        <v>0</v>
      </c>
      <c r="V77" s="27">
        <f t="shared" si="43"/>
        <v>1395.6745202785185</v>
      </c>
      <c r="W77" s="27">
        <f t="shared" si="44"/>
        <v>1328.4354826113372</v>
      </c>
      <c r="X77" s="15">
        <f t="shared" si="45"/>
        <v>0.88070412117081454</v>
      </c>
      <c r="Y77" s="15">
        <f t="shared" si="52"/>
        <v>0.88070412117081454</v>
      </c>
    </row>
    <row r="78" spans="1:25">
      <c r="A78" s="14">
        <f>'b（手動）計算用'!E81</f>
        <v>86</v>
      </c>
      <c r="B78" s="156">
        <f>'b（手動）計算用'!F81</f>
        <v>914.27422972484783</v>
      </c>
      <c r="C78" s="26">
        <f xml:space="preserve"> '樹高計算 '!N197</f>
        <v>31.152996859692191</v>
      </c>
      <c r="D78" s="26">
        <f>'b（手動）計算用'!G81</f>
        <v>31.152996859692191</v>
      </c>
      <c r="E78" s="26">
        <f t="shared" si="46"/>
        <v>30.236967932066996</v>
      </c>
      <c r="F78" s="26">
        <f t="shared" si="33"/>
        <v>13.850786020988631</v>
      </c>
      <c r="G78" s="26">
        <f t="shared" si="34"/>
        <v>84.948279264266404</v>
      </c>
      <c r="H78" s="26">
        <f t="shared" si="47"/>
        <v>34.394904904205617</v>
      </c>
      <c r="I78" s="26">
        <f t="shared" si="35"/>
        <v>33.636282369563631</v>
      </c>
      <c r="J78" s="27">
        <f t="shared" si="48"/>
        <v>0.60242715908781652</v>
      </c>
      <c r="K78" s="155">
        <f t="shared" si="36"/>
        <v>1656.2028623451035</v>
      </c>
      <c r="L78" s="27">
        <f t="shared" si="37"/>
        <v>1176.6004389405396</v>
      </c>
      <c r="M78" s="155">
        <f>'b（手動）計算用'!L81</f>
        <v>0</v>
      </c>
      <c r="N78" s="155">
        <f t="shared" si="38"/>
        <v>914.27422972484783</v>
      </c>
      <c r="O78" s="26">
        <f t="shared" si="49"/>
        <v>30.236967932066996</v>
      </c>
      <c r="P78" s="26">
        <f t="shared" si="39"/>
        <v>13.850786020988631</v>
      </c>
      <c r="Q78" s="26">
        <f t="shared" si="50"/>
        <v>84.948279264266404</v>
      </c>
      <c r="R78" s="26">
        <f t="shared" si="51"/>
        <v>34.394904904205617</v>
      </c>
      <c r="S78" s="26">
        <f t="shared" si="40"/>
        <v>33.636282369563631</v>
      </c>
      <c r="T78" s="27">
        <f t="shared" si="41"/>
        <v>1176.6004389405396</v>
      </c>
      <c r="U78" s="27">
        <f t="shared" si="42"/>
        <v>0</v>
      </c>
      <c r="V78" s="27">
        <f t="shared" si="43"/>
        <v>1389.6818251592269</v>
      </c>
      <c r="W78" s="27">
        <f t="shared" si="44"/>
        <v>1333.9929942554638</v>
      </c>
      <c r="X78" s="15">
        <f t="shared" si="45"/>
        <v>0.88201395660044746</v>
      </c>
      <c r="Y78" s="15">
        <f t="shared" si="52"/>
        <v>0.88201395660044746</v>
      </c>
    </row>
    <row r="79" spans="1:25">
      <c r="A79" s="14">
        <f>'b（手動）計算用'!E82</f>
        <v>87</v>
      </c>
      <c r="B79" s="156">
        <f>'b（手動）計算用'!F82</f>
        <v>914.27422972484783</v>
      </c>
      <c r="C79" s="26">
        <f xml:space="preserve"> '樹高計算 '!N198</f>
        <v>31.249698085070811</v>
      </c>
      <c r="D79" s="26">
        <f>'b（手動）計算用'!G82</f>
        <v>31.249698085070811</v>
      </c>
      <c r="E79" s="26">
        <f t="shared" si="46"/>
        <v>30.236967932066996</v>
      </c>
      <c r="F79" s="26">
        <f t="shared" si="33"/>
        <v>13.890731887412537</v>
      </c>
      <c r="G79" s="26">
        <f t="shared" si="34"/>
        <v>85.170205223017533</v>
      </c>
      <c r="H79" s="26">
        <f t="shared" si="47"/>
        <v>34.439803655913686</v>
      </c>
      <c r="I79" s="26">
        <f t="shared" si="35"/>
        <v>33.678576075772334</v>
      </c>
      <c r="J79" s="27">
        <f t="shared" si="48"/>
        <v>0.60527963832805609</v>
      </c>
      <c r="K79" s="155">
        <f t="shared" si="36"/>
        <v>1653.5602344904505</v>
      </c>
      <c r="L79" s="27">
        <f t="shared" si="37"/>
        <v>1183.0764855488394</v>
      </c>
      <c r="M79" s="155">
        <f>'b（手動）計算用'!L82</f>
        <v>0</v>
      </c>
      <c r="N79" s="155">
        <f t="shared" si="38"/>
        <v>914.27422972484783</v>
      </c>
      <c r="O79" s="26">
        <f t="shared" si="49"/>
        <v>30.236967932066996</v>
      </c>
      <c r="P79" s="26">
        <f t="shared" si="39"/>
        <v>13.890731887412537</v>
      </c>
      <c r="Q79" s="26">
        <f t="shared" si="50"/>
        <v>85.170205223017533</v>
      </c>
      <c r="R79" s="26">
        <f t="shared" si="51"/>
        <v>34.439803655913686</v>
      </c>
      <c r="S79" s="26">
        <f t="shared" si="40"/>
        <v>33.678576075772334</v>
      </c>
      <c r="T79" s="27">
        <f t="shared" si="41"/>
        <v>1183.0764855488394</v>
      </c>
      <c r="U79" s="27">
        <f t="shared" si="42"/>
        <v>0</v>
      </c>
      <c r="V79" s="27">
        <f t="shared" si="43"/>
        <v>1383.8915633682902</v>
      </c>
      <c r="W79" s="27">
        <f t="shared" si="44"/>
        <v>1339.4078092470263</v>
      </c>
      <c r="X79" s="15">
        <f t="shared" si="45"/>
        <v>0.88328325203205171</v>
      </c>
      <c r="Y79" s="15">
        <f t="shared" si="52"/>
        <v>0.88328325203205171</v>
      </c>
    </row>
    <row r="80" spans="1:25">
      <c r="A80" s="14">
        <f>'b（手動）計算用'!E83</f>
        <v>88</v>
      </c>
      <c r="B80" s="156">
        <f>'b（手動）計算用'!F83</f>
        <v>914.27422972484783</v>
      </c>
      <c r="C80" s="26">
        <f xml:space="preserve"> '樹高計算 '!N199</f>
        <v>31.34382596027713</v>
      </c>
      <c r="D80" s="26">
        <f>'b（手動）計算用'!G83</f>
        <v>31.34382596027713</v>
      </c>
      <c r="E80" s="26">
        <f t="shared" si="46"/>
        <v>30.236967932066996</v>
      </c>
      <c r="F80" s="26">
        <f t="shared" si="33"/>
        <v>13.92961474039641</v>
      </c>
      <c r="G80" s="26">
        <f t="shared" si="34"/>
        <v>85.385748483825068</v>
      </c>
      <c r="H80" s="26">
        <f t="shared" si="47"/>
        <v>34.483355135647628</v>
      </c>
      <c r="I80" s="26">
        <f t="shared" si="35"/>
        <v>33.719592923435386</v>
      </c>
      <c r="J80" s="27">
        <f t="shared" si="48"/>
        <v>0.60805928841550583</v>
      </c>
      <c r="K80" s="155">
        <f t="shared" si="36"/>
        <v>1650.9931781960893</v>
      </c>
      <c r="L80" s="27">
        <f t="shared" si="37"/>
        <v>1189.3905807000701</v>
      </c>
      <c r="M80" s="155">
        <f>'b（手動）計算用'!L83</f>
        <v>0</v>
      </c>
      <c r="N80" s="155">
        <f t="shared" si="38"/>
        <v>914.27422972484783</v>
      </c>
      <c r="O80" s="26">
        <f t="shared" si="49"/>
        <v>30.236967932066996</v>
      </c>
      <c r="P80" s="26">
        <f t="shared" si="39"/>
        <v>13.92961474039641</v>
      </c>
      <c r="Q80" s="26">
        <f t="shared" si="50"/>
        <v>85.385748483825068</v>
      </c>
      <c r="R80" s="26">
        <f t="shared" si="51"/>
        <v>34.483355135647628</v>
      </c>
      <c r="S80" s="26">
        <f t="shared" si="40"/>
        <v>33.719592923435386</v>
      </c>
      <c r="T80" s="27">
        <f t="shared" si="41"/>
        <v>1189.3905807000701</v>
      </c>
      <c r="U80" s="27">
        <f t="shared" si="42"/>
        <v>0</v>
      </c>
      <c r="V80" s="27">
        <f t="shared" si="43"/>
        <v>1378.295638391819</v>
      </c>
      <c r="W80" s="27">
        <f t="shared" si="44"/>
        <v>1344.6834724738342</v>
      </c>
      <c r="X80" s="15">
        <f t="shared" si="45"/>
        <v>0.88451342271049904</v>
      </c>
      <c r="Y80" s="15">
        <f t="shared" si="52"/>
        <v>0.88451342271049904</v>
      </c>
    </row>
    <row r="81" spans="1:25">
      <c r="A81" s="14">
        <f>'b（手動）計算用'!E84</f>
        <v>89</v>
      </c>
      <c r="B81" s="156">
        <f>'b（手動）計算用'!F84</f>
        <v>914.27422972484783</v>
      </c>
      <c r="C81" s="26">
        <f xml:space="preserve"> '樹高計算 '!N200</f>
        <v>31.435449488585853</v>
      </c>
      <c r="D81" s="26">
        <f>'b（手動）計算用'!G84</f>
        <v>31.435449488585853</v>
      </c>
      <c r="E81" s="26">
        <f t="shared" si="46"/>
        <v>30.236967932066996</v>
      </c>
      <c r="F81" s="26">
        <f t="shared" si="33"/>
        <v>13.967463084187063</v>
      </c>
      <c r="G81" s="26">
        <f t="shared" si="34"/>
        <v>85.595106503047347</v>
      </c>
      <c r="H81" s="26">
        <f t="shared" si="47"/>
        <v>34.52560426484122</v>
      </c>
      <c r="I81" s="26">
        <f t="shared" si="35"/>
        <v>33.759375883020674</v>
      </c>
      <c r="J81" s="27">
        <f t="shared" si="48"/>
        <v>0.61076789262828868</v>
      </c>
      <c r="K81" s="155">
        <f t="shared" si="36"/>
        <v>1648.4993898873015</v>
      </c>
      <c r="L81" s="27">
        <f t="shared" si="37"/>
        <v>1195.5464902683739</v>
      </c>
      <c r="M81" s="155">
        <f>'b（手動）計算用'!L84</f>
        <v>0</v>
      </c>
      <c r="N81" s="155">
        <f t="shared" si="38"/>
        <v>914.27422972484783</v>
      </c>
      <c r="O81" s="26">
        <f t="shared" si="49"/>
        <v>30.236967932066996</v>
      </c>
      <c r="P81" s="26">
        <f t="shared" si="39"/>
        <v>13.967463084187063</v>
      </c>
      <c r="Q81" s="26">
        <f t="shared" si="50"/>
        <v>85.595106503047347</v>
      </c>
      <c r="R81" s="26">
        <f t="shared" si="51"/>
        <v>34.52560426484122</v>
      </c>
      <c r="S81" s="26">
        <f t="shared" si="40"/>
        <v>33.759375883020674</v>
      </c>
      <c r="T81" s="27">
        <f t="shared" si="41"/>
        <v>1195.5464902683739</v>
      </c>
      <c r="U81" s="27">
        <f t="shared" si="42"/>
        <v>0</v>
      </c>
      <c r="V81" s="27">
        <f t="shared" si="43"/>
        <v>1372.8863520587172</v>
      </c>
      <c r="W81" s="27">
        <f t="shared" si="44"/>
        <v>1349.8234469273714</v>
      </c>
      <c r="X81" s="15">
        <f t="shared" si="45"/>
        <v>0.88570582544689003</v>
      </c>
      <c r="Y81" s="15">
        <f t="shared" si="52"/>
        <v>0.88570582544689003</v>
      </c>
    </row>
    <row r="82" spans="1:25">
      <c r="A82" s="14">
        <f>'b（手動）計算用'!E85</f>
        <v>90</v>
      </c>
      <c r="B82" s="156">
        <f>'b（手動）計算用'!F85</f>
        <v>914.27422972484783</v>
      </c>
      <c r="C82" s="26">
        <f xml:space="preserve"> '樹高計算 '!N201</f>
        <v>31.52463577874099</v>
      </c>
      <c r="D82" s="26">
        <f>'b（手動）計算用'!G85</f>
        <v>31.52463577874099</v>
      </c>
      <c r="E82" s="26">
        <f t="shared" si="46"/>
        <v>30.236967932066996</v>
      </c>
      <c r="F82" s="26">
        <f t="shared" si="33"/>
        <v>14.004304640428275</v>
      </c>
      <c r="G82" s="26">
        <f t="shared" si="34"/>
        <v>85.798469846438621</v>
      </c>
      <c r="H82" s="26">
        <f t="shared" si="47"/>
        <v>34.566594206611619</v>
      </c>
      <c r="I82" s="26">
        <f t="shared" si="35"/>
        <v>33.797966223996639</v>
      </c>
      <c r="J82" s="27">
        <f t="shared" si="48"/>
        <v>0.61340719479072414</v>
      </c>
      <c r="K82" s="155">
        <f t="shared" si="36"/>
        <v>1646.0766436793454</v>
      </c>
      <c r="L82" s="27">
        <f t="shared" si="37"/>
        <v>1201.5479094121258</v>
      </c>
      <c r="M82" s="155">
        <f>'b（手動）計算用'!L85</f>
        <v>0</v>
      </c>
      <c r="N82" s="155">
        <f t="shared" si="38"/>
        <v>914.27422972484783</v>
      </c>
      <c r="O82" s="26">
        <f t="shared" si="49"/>
        <v>30.236967932066996</v>
      </c>
      <c r="P82" s="26">
        <f t="shared" si="39"/>
        <v>14.004304640428275</v>
      </c>
      <c r="Q82" s="26">
        <f t="shared" si="50"/>
        <v>85.798469846438621</v>
      </c>
      <c r="R82" s="26">
        <f t="shared" si="51"/>
        <v>34.566594206611619</v>
      </c>
      <c r="S82" s="26">
        <f t="shared" si="40"/>
        <v>33.797966223996639</v>
      </c>
      <c r="T82" s="27">
        <f t="shared" si="41"/>
        <v>1201.5479094121258</v>
      </c>
      <c r="U82" s="27">
        <f t="shared" si="42"/>
        <v>0</v>
      </c>
      <c r="V82" s="27">
        <f t="shared" si="43"/>
        <v>1367.6563805542935</v>
      </c>
      <c r="W82" s="27">
        <f t="shared" si="44"/>
        <v>1354.831115222473</v>
      </c>
      <c r="X82" s="15">
        <f t="shared" si="45"/>
        <v>0.88686176152281748</v>
      </c>
      <c r="Y82" s="15">
        <f t="shared" si="52"/>
        <v>0.88686176152281748</v>
      </c>
    </row>
    <row r="83" spans="1:25">
      <c r="A83" s="14">
        <f>'b（手動）計算用'!E86</f>
        <v>91</v>
      </c>
      <c r="B83" s="156">
        <f>'b（手動）計算用'!F86</f>
        <v>914.27422972484783</v>
      </c>
      <c r="C83" s="26">
        <f xml:space="preserve"> '樹高計算 '!N202</f>
        <v>31.611450099945927</v>
      </c>
      <c r="D83" s="26">
        <f>'b（手動）計算用'!G86</f>
        <v>31.611450099945927</v>
      </c>
      <c r="E83" s="26">
        <f t="shared" si="46"/>
        <v>30.236967932066996</v>
      </c>
      <c r="F83" s="26">
        <f t="shared" si="33"/>
        <v>14.040166370876429</v>
      </c>
      <c r="G83" s="26">
        <f t="shared" si="34"/>
        <v>85.996022471722398</v>
      </c>
      <c r="H83" s="26">
        <f t="shared" si="47"/>
        <v>34.606366449334374</v>
      </c>
      <c r="I83" s="26">
        <f t="shared" si="35"/>
        <v>33.835403596511092</v>
      </c>
      <c r="J83" s="27">
        <f t="shared" si="48"/>
        <v>0.61597889987550181</v>
      </c>
      <c r="K83" s="155">
        <f t="shared" si="36"/>
        <v>1643.722788399692</v>
      </c>
      <c r="L83" s="27">
        <f t="shared" si="37"/>
        <v>1207.3984627366106</v>
      </c>
      <c r="M83" s="155">
        <f>'b（手動）計算用'!L86</f>
        <v>0</v>
      </c>
      <c r="N83" s="155">
        <f t="shared" si="38"/>
        <v>914.27422972484783</v>
      </c>
      <c r="O83" s="26">
        <f t="shared" si="49"/>
        <v>30.236967932066996</v>
      </c>
      <c r="P83" s="26">
        <f t="shared" si="39"/>
        <v>14.040166370876429</v>
      </c>
      <c r="Q83" s="26">
        <f t="shared" si="50"/>
        <v>85.996022471722398</v>
      </c>
      <c r="R83" s="26">
        <f t="shared" si="51"/>
        <v>34.606366449334374</v>
      </c>
      <c r="S83" s="26">
        <f t="shared" si="40"/>
        <v>33.835403596511092</v>
      </c>
      <c r="T83" s="27">
        <f t="shared" si="41"/>
        <v>1207.3984627366106</v>
      </c>
      <c r="U83" s="27">
        <f t="shared" si="42"/>
        <v>0</v>
      </c>
      <c r="V83" s="27">
        <f t="shared" si="43"/>
        <v>1362.5987521430015</v>
      </c>
      <c r="W83" s="27">
        <f t="shared" si="44"/>
        <v>1359.7097811193976</v>
      </c>
      <c r="X83" s="15">
        <f t="shared" si="45"/>
        <v>0.88798247942484099</v>
      </c>
      <c r="Y83" s="15">
        <f t="shared" si="52"/>
        <v>0.88798247942484099</v>
      </c>
    </row>
    <row r="84" spans="1:25">
      <c r="A84" s="14">
        <f>'b（手動）計算用'!E87</f>
        <v>92</v>
      </c>
      <c r="B84" s="156">
        <f>'b（手動）計算用'!F87</f>
        <v>914.27422972484783</v>
      </c>
      <c r="C84" s="26">
        <f xml:space="preserve"> '樹高計算 '!N203</f>
        <v>31.695955935131838</v>
      </c>
      <c r="D84" s="26">
        <f>'b（手動）計算用'!G87</f>
        <v>31.695955935131838</v>
      </c>
      <c r="E84" s="26">
        <f t="shared" si="46"/>
        <v>30.236967932066996</v>
      </c>
      <c r="F84" s="26">
        <f t="shared" si="33"/>
        <v>14.075074499404895</v>
      </c>
      <c r="G84" s="26">
        <f t="shared" si="34"/>
        <v>86.187941997574711</v>
      </c>
      <c r="H84" s="26">
        <f t="shared" si="47"/>
        <v>34.64496088545306</v>
      </c>
      <c r="I84" s="26">
        <f t="shared" si="35"/>
        <v>33.871726108379306</v>
      </c>
      <c r="J84" s="27">
        <f t="shared" si="48"/>
        <v>0.61848467461956458</v>
      </c>
      <c r="K84" s="155">
        <f t="shared" si="36"/>
        <v>1641.4357447373015</v>
      </c>
      <c r="L84" s="27">
        <f t="shared" si="37"/>
        <v>1213.101704566252</v>
      </c>
      <c r="M84" s="155">
        <f>'b（手動）計算用'!L87</f>
        <v>0</v>
      </c>
      <c r="N84" s="155">
        <f t="shared" si="38"/>
        <v>914.27422972484783</v>
      </c>
      <c r="O84" s="26">
        <f t="shared" si="49"/>
        <v>30.236967932066996</v>
      </c>
      <c r="P84" s="26">
        <f t="shared" si="39"/>
        <v>14.075074499404895</v>
      </c>
      <c r="Q84" s="26">
        <f t="shared" si="50"/>
        <v>86.187941997574711</v>
      </c>
      <c r="R84" s="26">
        <f t="shared" si="51"/>
        <v>34.64496088545306</v>
      </c>
      <c r="S84" s="26">
        <f t="shared" si="40"/>
        <v>33.871726108379306</v>
      </c>
      <c r="T84" s="27">
        <f t="shared" si="41"/>
        <v>1213.101704566252</v>
      </c>
      <c r="U84" s="27">
        <f t="shared" si="42"/>
        <v>0</v>
      </c>
      <c r="V84" s="27">
        <f t="shared" si="43"/>
        <v>1357.706826461118</v>
      </c>
      <c r="W84" s="27">
        <f t="shared" si="44"/>
        <v>1364.4626710444495</v>
      </c>
      <c r="X84" s="15">
        <f t="shared" si="45"/>
        <v>0.88906917742034242</v>
      </c>
      <c r="Y84" s="15">
        <f t="shared" si="52"/>
        <v>0.88906917742034242</v>
      </c>
    </row>
    <row r="85" spans="1:25">
      <c r="A85" s="14">
        <f>'b（手動）計算用'!E88</f>
        <v>93</v>
      </c>
      <c r="B85" s="156">
        <f>'b（手動）計算用'!F88</f>
        <v>914.27422972484783</v>
      </c>
      <c r="C85" s="26">
        <f xml:space="preserve"> '樹高計算 '!N204</f>
        <v>31.778215032552865</v>
      </c>
      <c r="D85" s="26">
        <f>'b（手動）計算用'!G88</f>
        <v>31.778215032552865</v>
      </c>
      <c r="E85" s="26">
        <f t="shared" si="46"/>
        <v>30.236967932066996</v>
      </c>
      <c r="F85" s="26">
        <f t="shared" si="33"/>
        <v>14.109054533317245</v>
      </c>
      <c r="G85" s="26">
        <f t="shared" si="34"/>
        <v>86.374399959738909</v>
      </c>
      <c r="H85" s="26">
        <f t="shared" si="47"/>
        <v>34.682415885835582</v>
      </c>
      <c r="I85" s="26">
        <f t="shared" si="35"/>
        <v>33.906970397690166</v>
      </c>
      <c r="J85" s="27">
        <f t="shared" si="48"/>
        <v>0.62092614815082148</v>
      </c>
      <c r="K85" s="155">
        <f t="shared" si="36"/>
        <v>1639.213502513576</v>
      </c>
      <c r="L85" s="27">
        <f t="shared" si="37"/>
        <v>1218.6611193145111</v>
      </c>
      <c r="M85" s="155">
        <f>'b（手動）計算用'!L88</f>
        <v>0</v>
      </c>
      <c r="N85" s="155">
        <f t="shared" si="38"/>
        <v>914.27422972484783</v>
      </c>
      <c r="O85" s="26">
        <f t="shared" si="49"/>
        <v>30.236967932066996</v>
      </c>
      <c r="P85" s="26">
        <f t="shared" si="39"/>
        <v>14.109054533317245</v>
      </c>
      <c r="Q85" s="26">
        <f t="shared" si="50"/>
        <v>86.374399959738909</v>
      </c>
      <c r="R85" s="26">
        <f t="shared" si="51"/>
        <v>34.682415885835582</v>
      </c>
      <c r="S85" s="26">
        <f t="shared" si="40"/>
        <v>33.906970397690166</v>
      </c>
      <c r="T85" s="27">
        <f t="shared" si="41"/>
        <v>1218.6611193145111</v>
      </c>
      <c r="U85" s="27">
        <f t="shared" si="42"/>
        <v>0</v>
      </c>
      <c r="V85" s="27">
        <f t="shared" si="43"/>
        <v>1352.9742752527613</v>
      </c>
      <c r="W85" s="27">
        <f t="shared" si="44"/>
        <v>1369.09293560584</v>
      </c>
      <c r="X85" s="15">
        <f t="shared" si="45"/>
        <v>0.89012300598515537</v>
      </c>
      <c r="Y85" s="15">
        <f t="shared" si="52"/>
        <v>0.89012300598515537</v>
      </c>
    </row>
    <row r="86" spans="1:25">
      <c r="A86" s="14">
        <f>'b（手動）計算用'!E89</f>
        <v>94</v>
      </c>
      <c r="B86" s="156">
        <f>'b（手動）計算用'!F89</f>
        <v>914.27422972484783</v>
      </c>
      <c r="C86" s="26">
        <f xml:space="preserve"> '樹高計算 '!N205</f>
        <v>31.858287455757491</v>
      </c>
      <c r="D86" s="26">
        <f>'b（手動）計算用'!G89</f>
        <v>31.858287455757491</v>
      </c>
      <c r="E86" s="26">
        <f t="shared" si="46"/>
        <v>30.236967932066996</v>
      </c>
      <c r="F86" s="26">
        <f t="shared" si="33"/>
        <v>14.142131283989706</v>
      </c>
      <c r="G86" s="26">
        <f t="shared" si="34"/>
        <v>86.555562054953313</v>
      </c>
      <c r="H86" s="26">
        <f t="shared" si="47"/>
        <v>34.718768369966334</v>
      </c>
      <c r="I86" s="26">
        <f t="shared" si="35"/>
        <v>33.9411717013163</v>
      </c>
      <c r="J86" s="27">
        <f t="shared" si="48"/>
        <v>0.62330491262313492</v>
      </c>
      <c r="K86" s="155">
        <f t="shared" si="36"/>
        <v>1637.0541180697639</v>
      </c>
      <c r="L86" s="27">
        <f t="shared" si="37"/>
        <v>1224.0801219406676</v>
      </c>
      <c r="M86" s="155">
        <f>'b（手動）計算用'!L89</f>
        <v>0</v>
      </c>
      <c r="N86" s="155">
        <f t="shared" si="38"/>
        <v>914.27422972484783</v>
      </c>
      <c r="O86" s="26">
        <f t="shared" si="49"/>
        <v>30.236967932066996</v>
      </c>
      <c r="P86" s="26">
        <f t="shared" si="39"/>
        <v>14.142131283989706</v>
      </c>
      <c r="Q86" s="26">
        <f t="shared" si="50"/>
        <v>86.555562054953313</v>
      </c>
      <c r="R86" s="26">
        <f t="shared" si="51"/>
        <v>34.718768369966334</v>
      </c>
      <c r="S86" s="26">
        <f t="shared" si="40"/>
        <v>33.9411717013163</v>
      </c>
      <c r="T86" s="27">
        <f t="shared" si="41"/>
        <v>1224.0801219406676</v>
      </c>
      <c r="U86" s="27">
        <f t="shared" si="42"/>
        <v>0</v>
      </c>
      <c r="V86" s="27">
        <f t="shared" si="43"/>
        <v>1348.3950644340634</v>
      </c>
      <c r="W86" s="27">
        <f t="shared" si="44"/>
        <v>1373.6036511018922</v>
      </c>
      <c r="X86" s="15">
        <f t="shared" si="45"/>
        <v>0.89114507009261501</v>
      </c>
      <c r="Y86" s="15">
        <f t="shared" si="52"/>
        <v>0.89114507009261501</v>
      </c>
    </row>
    <row r="87" spans="1:25">
      <c r="A87" s="14">
        <f>'b（手動）計算用'!E90</f>
        <v>95</v>
      </c>
      <c r="B87" s="156">
        <f>'b（手動）計算用'!F90</f>
        <v>914.27422972484783</v>
      </c>
      <c r="C87" s="26">
        <f xml:space="preserve"> '樹高計算 '!N206</f>
        <v>31.936231631986093</v>
      </c>
      <c r="D87" s="26">
        <f>'b（手動）計算用'!G90</f>
        <v>31.936231631986093</v>
      </c>
      <c r="E87" s="26">
        <f t="shared" si="46"/>
        <v>30.236967932066996</v>
      </c>
      <c r="F87" s="26">
        <f t="shared" si="33"/>
        <v>14.174328886863488</v>
      </c>
      <c r="G87" s="26">
        <f t="shared" si="34"/>
        <v>86.731588373342092</v>
      </c>
      <c r="H87" s="26">
        <f t="shared" si="47"/>
        <v>34.754053872243418</v>
      </c>
      <c r="I87" s="26">
        <f t="shared" si="35"/>
        <v>33.974363919594246</v>
      </c>
      <c r="J87" s="27">
        <f t="shared" si="48"/>
        <v>0.62562252385735162</v>
      </c>
      <c r="K87" s="155">
        <f t="shared" si="36"/>
        <v>1634.9557117657275</v>
      </c>
      <c r="L87" s="27">
        <f t="shared" si="37"/>
        <v>1229.3620584838163</v>
      </c>
      <c r="M87" s="155">
        <f>'b（手動）計算用'!L90</f>
        <v>0</v>
      </c>
      <c r="N87" s="155">
        <f t="shared" si="38"/>
        <v>914.27422972484783</v>
      </c>
      <c r="O87" s="26">
        <f t="shared" si="49"/>
        <v>30.236967932066996</v>
      </c>
      <c r="P87" s="26">
        <f t="shared" si="39"/>
        <v>14.174328886863488</v>
      </c>
      <c r="Q87" s="26">
        <f t="shared" si="50"/>
        <v>86.731588373342092</v>
      </c>
      <c r="R87" s="26">
        <f t="shared" si="51"/>
        <v>34.754053872243418</v>
      </c>
      <c r="S87" s="26">
        <f t="shared" si="40"/>
        <v>33.974363919594246</v>
      </c>
      <c r="T87" s="27">
        <f t="shared" si="41"/>
        <v>1229.3620584838163</v>
      </c>
      <c r="U87" s="27">
        <f t="shared" si="42"/>
        <v>0</v>
      </c>
      <c r="V87" s="27">
        <f t="shared" si="43"/>
        <v>1343.963437380575</v>
      </c>
      <c r="W87" s="27">
        <f t="shared" si="44"/>
        <v>1377.9978210191775</v>
      </c>
      <c r="X87" s="15">
        <f t="shared" si="45"/>
        <v>0.89213643137299803</v>
      </c>
      <c r="Y87" s="15">
        <f t="shared" si="52"/>
        <v>0.89213643137299803</v>
      </c>
    </row>
    <row r="88" spans="1:25">
      <c r="A88" s="14">
        <f>'b（手動）計算用'!E91</f>
        <v>96</v>
      </c>
      <c r="B88" s="156">
        <f>'b（手動）計算用'!F91</f>
        <v>914.27422972484783</v>
      </c>
      <c r="C88" s="26">
        <f xml:space="preserve"> '樹高計算 '!N207</f>
        <v>32.012104399044432</v>
      </c>
      <c r="D88" s="26">
        <f>'b（手動）計算用'!G91</f>
        <v>32.012104399044432</v>
      </c>
      <c r="E88" s="26">
        <f t="shared" si="46"/>
        <v>30.236967932066996</v>
      </c>
      <c r="F88" s="26">
        <f t="shared" si="33"/>
        <v>14.205670820807528</v>
      </c>
      <c r="G88" s="26">
        <f t="shared" si="34"/>
        <v>86.902633619880476</v>
      </c>
      <c r="H88" s="26">
        <f t="shared" si="47"/>
        <v>34.788306604630463</v>
      </c>
      <c r="I88" s="26">
        <f t="shared" si="35"/>
        <v>34.006579677421342</v>
      </c>
      <c r="J88" s="27">
        <f t="shared" si="48"/>
        <v>0.6278805019863849</v>
      </c>
      <c r="K88" s="155">
        <f t="shared" si="36"/>
        <v>1632.9164655851594</v>
      </c>
      <c r="L88" s="27">
        <f t="shared" si="37"/>
        <v>1234.5102066652635</v>
      </c>
      <c r="M88" s="155">
        <f>'b（手動）計算用'!L91</f>
        <v>0</v>
      </c>
      <c r="N88" s="155">
        <f t="shared" si="38"/>
        <v>914.27422972484783</v>
      </c>
      <c r="O88" s="26">
        <f t="shared" si="49"/>
        <v>30.236967932066996</v>
      </c>
      <c r="P88" s="26">
        <f t="shared" si="39"/>
        <v>14.205670820807528</v>
      </c>
      <c r="Q88" s="26">
        <f t="shared" si="50"/>
        <v>86.902633619880476</v>
      </c>
      <c r="R88" s="26">
        <f t="shared" si="51"/>
        <v>34.788306604630463</v>
      </c>
      <c r="S88" s="26">
        <f t="shared" si="40"/>
        <v>34.006579677421342</v>
      </c>
      <c r="T88" s="27">
        <f t="shared" si="41"/>
        <v>1234.5102066652635</v>
      </c>
      <c r="U88" s="27">
        <f t="shared" si="42"/>
        <v>0</v>
      </c>
      <c r="V88" s="27">
        <f t="shared" si="43"/>
        <v>1339.6738993422564</v>
      </c>
      <c r="W88" s="27">
        <f t="shared" si="44"/>
        <v>1382.2783775184359</v>
      </c>
      <c r="X88" s="15">
        <f t="shared" si="45"/>
        <v>0.89309811015169294</v>
      </c>
      <c r="Y88" s="15">
        <f t="shared" si="52"/>
        <v>0.89309811015169294</v>
      </c>
    </row>
    <row r="89" spans="1:25">
      <c r="A89" s="14">
        <f>'b（手動）計算用'!E92</f>
        <v>97</v>
      </c>
      <c r="B89" s="156">
        <f>'b（手動）計算用'!F92</f>
        <v>914.27422972484783</v>
      </c>
      <c r="C89" s="26">
        <f xml:space="preserve"> '樹高計算 '!N208</f>
        <v>32.085961050702814</v>
      </c>
      <c r="D89" s="26">
        <f>'b（手動）計算用'!G92</f>
        <v>32.085961050702814</v>
      </c>
      <c r="E89" s="26">
        <f t="shared" si="46"/>
        <v>30.236967932066996</v>
      </c>
      <c r="F89" s="26">
        <f t="shared" si="33"/>
        <v>14.236179926872229</v>
      </c>
      <c r="G89" s="26">
        <f t="shared" si="34"/>
        <v>87.068847325515563</v>
      </c>
      <c r="H89" s="26">
        <f t="shared" si="47"/>
        <v>34.821559515895274</v>
      </c>
      <c r="I89" s="26">
        <f t="shared" si="35"/>
        <v>34.037850381998581</v>
      </c>
      <c r="J89" s="27">
        <f t="shared" si="48"/>
        <v>0.63008033210261061</v>
      </c>
      <c r="K89" s="155">
        <f t="shared" si="36"/>
        <v>1630.9346208424913</v>
      </c>
      <c r="L89" s="27">
        <f t="shared" si="37"/>
        <v>1239.5277765514074</v>
      </c>
      <c r="M89" s="155">
        <f>'b（手動）計算用'!L92</f>
        <v>0</v>
      </c>
      <c r="N89" s="155">
        <f t="shared" si="38"/>
        <v>914.27422972484783</v>
      </c>
      <c r="O89" s="26">
        <f t="shared" si="49"/>
        <v>30.236967932066996</v>
      </c>
      <c r="P89" s="26">
        <f t="shared" si="39"/>
        <v>14.236179926872229</v>
      </c>
      <c r="Q89" s="26">
        <f t="shared" si="50"/>
        <v>87.068847325515563</v>
      </c>
      <c r="R89" s="26">
        <f t="shared" si="51"/>
        <v>34.821559515895274</v>
      </c>
      <c r="S89" s="26">
        <f t="shared" si="40"/>
        <v>34.037850381998581</v>
      </c>
      <c r="T89" s="27">
        <f t="shared" si="41"/>
        <v>1239.5277765514074</v>
      </c>
      <c r="U89" s="27">
        <f t="shared" si="42"/>
        <v>0</v>
      </c>
      <c r="V89" s="27">
        <f t="shared" si="43"/>
        <v>1335.5212028987066</v>
      </c>
      <c r="W89" s="27">
        <f t="shared" si="44"/>
        <v>1386.4481829065016</v>
      </c>
      <c r="X89" s="15">
        <f t="shared" si="45"/>
        <v>0.89403108737385673</v>
      </c>
      <c r="Y89" s="15">
        <f t="shared" si="52"/>
        <v>0.89403108737385673</v>
      </c>
    </row>
    <row r="90" spans="1:25">
      <c r="A90" s="14">
        <f>'b（手動）計算用'!E93</f>
        <v>98</v>
      </c>
      <c r="B90" s="156">
        <f>'b（手動）計算用'!F93</f>
        <v>914.27422972484783</v>
      </c>
      <c r="C90" s="26">
        <f xml:space="preserve"> '樹高計算 '!N209</f>
        <v>32.157855380669837</v>
      </c>
      <c r="D90" s="26">
        <f>'b（手動）計算用'!G93</f>
        <v>32.157855380669837</v>
      </c>
      <c r="E90" s="26">
        <f t="shared" si="46"/>
        <v>30.236967932066996</v>
      </c>
      <c r="F90" s="26">
        <f t="shared" si="33"/>
        <v>14.265878426454361</v>
      </c>
      <c r="G90" s="26">
        <f t="shared" si="34"/>
        <v>87.230374048491086</v>
      </c>
      <c r="H90" s="26">
        <f t="shared" si="47"/>
        <v>34.85384434765102</v>
      </c>
      <c r="I90" s="26">
        <f t="shared" si="35"/>
        <v>34.068206277432594</v>
      </c>
      <c r="J90" s="27">
        <f t="shared" si="48"/>
        <v>0.63222346490604076</v>
      </c>
      <c r="K90" s="155">
        <f t="shared" si="36"/>
        <v>1629.0084759869121</v>
      </c>
      <c r="L90" s="27">
        <f t="shared" si="37"/>
        <v>1244.4179112699132</v>
      </c>
      <c r="M90" s="155">
        <f>'b（手動）計算用'!L93</f>
        <v>0</v>
      </c>
      <c r="N90" s="155">
        <f t="shared" si="38"/>
        <v>914.27422972484783</v>
      </c>
      <c r="O90" s="26">
        <f t="shared" si="49"/>
        <v>30.236967932066996</v>
      </c>
      <c r="P90" s="26">
        <f t="shared" si="39"/>
        <v>14.265878426454361</v>
      </c>
      <c r="Q90" s="26">
        <f t="shared" si="50"/>
        <v>87.230374048491086</v>
      </c>
      <c r="R90" s="26">
        <f t="shared" si="51"/>
        <v>34.85384434765102</v>
      </c>
      <c r="S90" s="26">
        <f t="shared" si="40"/>
        <v>34.068206277432594</v>
      </c>
      <c r="T90" s="27">
        <f t="shared" si="41"/>
        <v>1244.4179112699132</v>
      </c>
      <c r="U90" s="27">
        <f t="shared" si="42"/>
        <v>0</v>
      </c>
      <c r="V90" s="27">
        <f t="shared" si="43"/>
        <v>1331.5003343749452</v>
      </c>
      <c r="W90" s="27">
        <f t="shared" si="44"/>
        <v>1390.510031092708</v>
      </c>
      <c r="X90" s="15">
        <f t="shared" si="45"/>
        <v>0.89493630642276578</v>
      </c>
      <c r="Y90" s="15">
        <f t="shared" si="52"/>
        <v>0.89493630642276578</v>
      </c>
    </row>
    <row r="91" spans="1:25">
      <c r="A91" s="14">
        <f>'b（手動）計算用'!E94</f>
        <v>99</v>
      </c>
      <c r="B91" s="156">
        <f>'b（手動）計算用'!F94</f>
        <v>914.27422972484783</v>
      </c>
      <c r="C91" s="26">
        <f xml:space="preserve"> '樹高計算 '!N210</f>
        <v>32.227839725188701</v>
      </c>
      <c r="D91" s="26">
        <f>'b（手動）計算用'!G94</f>
        <v>32.227839725188701</v>
      </c>
      <c r="E91" s="26">
        <f t="shared" si="46"/>
        <v>30.236967932066996</v>
      </c>
      <c r="F91" s="26">
        <f t="shared" si="33"/>
        <v>14.294787938893002</v>
      </c>
      <c r="G91" s="26">
        <f t="shared" si="34"/>
        <v>87.387353566393656</v>
      </c>
      <c r="H91" s="26">
        <f t="shared" si="47"/>
        <v>34.885191687400599</v>
      </c>
      <c r="I91" s="26">
        <f t="shared" si="35"/>
        <v>34.097676496394733</v>
      </c>
      <c r="J91" s="27">
        <f t="shared" si="48"/>
        <v>0.63431131735191104</v>
      </c>
      <c r="K91" s="155">
        <f t="shared" si="36"/>
        <v>1627.1363844991058</v>
      </c>
      <c r="L91" s="27">
        <f t="shared" si="37"/>
        <v>1249.1836877726623</v>
      </c>
      <c r="M91" s="155">
        <f>'b（手動）計算用'!L94</f>
        <v>0</v>
      </c>
      <c r="N91" s="155">
        <f t="shared" si="38"/>
        <v>914.27422972484783</v>
      </c>
      <c r="O91" s="26">
        <f t="shared" si="49"/>
        <v>30.236967932066996</v>
      </c>
      <c r="P91" s="26">
        <f t="shared" si="39"/>
        <v>14.294787938893002</v>
      </c>
      <c r="Q91" s="26">
        <f t="shared" si="50"/>
        <v>87.387353566393656</v>
      </c>
      <c r="R91" s="26">
        <f t="shared" si="51"/>
        <v>34.885191687400599</v>
      </c>
      <c r="S91" s="26">
        <f t="shared" si="40"/>
        <v>34.097676496394733</v>
      </c>
      <c r="T91" s="27">
        <f t="shared" si="41"/>
        <v>1249.1836877726623</v>
      </c>
      <c r="U91" s="27">
        <f t="shared" si="42"/>
        <v>0</v>
      </c>
      <c r="V91" s="27">
        <f t="shared" si="43"/>
        <v>1327.6065011448045</v>
      </c>
      <c r="W91" s="27">
        <f t="shared" si="44"/>
        <v>1394.4666490284485</v>
      </c>
      <c r="X91" s="15">
        <f t="shared" si="45"/>
        <v>0.89581467483857891</v>
      </c>
      <c r="Y91" s="15">
        <f t="shared" si="52"/>
        <v>0.89581467483857891</v>
      </c>
    </row>
    <row r="92" spans="1:25">
      <c r="A92" s="14">
        <f>'b（手動）計算用'!E95</f>
        <v>100</v>
      </c>
      <c r="B92" s="156">
        <f>'b（手動）計算用'!F95</f>
        <v>914.27422972484783</v>
      </c>
      <c r="C92" s="26">
        <f xml:space="preserve"> '樹高計算 '!N211</f>
        <v>32.295965004303454</v>
      </c>
      <c r="D92" s="26">
        <f>'b（手動）計算用'!G95</f>
        <v>32.295965004303454</v>
      </c>
      <c r="E92" s="26">
        <f t="shared" si="46"/>
        <v>30.236967932066996</v>
      </c>
      <c r="F92" s="26">
        <f t="shared" si="33"/>
        <v>14.322929498515997</v>
      </c>
      <c r="G92" s="26">
        <f t="shared" si="34"/>
        <v>87.53992105941164</v>
      </c>
      <c r="H92" s="26">
        <f t="shared" si="47"/>
        <v>34.915631018770945</v>
      </c>
      <c r="I92" s="26">
        <f t="shared" si="35"/>
        <v>34.126289109021592</v>
      </c>
      <c r="J92" s="27">
        <f t="shared" si="48"/>
        <v>0.63634527329650836</v>
      </c>
      <c r="K92" s="155">
        <f t="shared" si="36"/>
        <v>1625.3167528764632</v>
      </c>
      <c r="L92" s="27">
        <f t="shared" si="37"/>
        <v>1253.8281176396088</v>
      </c>
      <c r="M92" s="155">
        <f>'b（手動）計算用'!L95</f>
        <v>0</v>
      </c>
      <c r="N92" s="155">
        <f t="shared" si="38"/>
        <v>914.27422972484783</v>
      </c>
      <c r="O92" s="26">
        <f t="shared" si="49"/>
        <v>30.236967932066996</v>
      </c>
      <c r="P92" s="26">
        <f t="shared" si="39"/>
        <v>14.322929498515997</v>
      </c>
      <c r="Q92" s="26">
        <f t="shared" si="50"/>
        <v>87.53992105941164</v>
      </c>
      <c r="R92" s="26">
        <f t="shared" si="51"/>
        <v>34.915631018770945</v>
      </c>
      <c r="S92" s="26">
        <f t="shared" si="40"/>
        <v>34.126289109021592</v>
      </c>
      <c r="T92" s="27">
        <f t="shared" si="41"/>
        <v>1253.8281176396088</v>
      </c>
      <c r="U92" s="27">
        <f t="shared" si="42"/>
        <v>0</v>
      </c>
      <c r="V92" s="27">
        <f t="shared" si="43"/>
        <v>1323.8351197552381</v>
      </c>
      <c r="W92" s="27">
        <f t="shared" si="44"/>
        <v>1398.3206981288454</v>
      </c>
      <c r="X92" s="15">
        <f t="shared" si="45"/>
        <v>0.89666706594375056</v>
      </c>
      <c r="Y92" s="15">
        <f t="shared" si="52"/>
        <v>0.89666706594375056</v>
      </c>
    </row>
    <row r="93" spans="1:25">
      <c r="A93" s="14">
        <f>'b（手動）計算用'!E96</f>
        <v>101</v>
      </c>
      <c r="B93" s="156">
        <f>'b（手動）計算用'!F96</f>
        <v>914.27422972484783</v>
      </c>
      <c r="C93" s="26">
        <f xml:space="preserve"> '樹高計算 '!N212</f>
        <v>32.362280761840779</v>
      </c>
      <c r="D93" s="26">
        <f>'b（手動）計算用'!G96</f>
        <v>32.362280761840779</v>
      </c>
      <c r="E93" s="26">
        <f t="shared" si="46"/>
        <v>30.236967932066996</v>
      </c>
      <c r="F93" s="26">
        <f t="shared" si="33"/>
        <v>14.350323571155865</v>
      </c>
      <c r="G93" s="26">
        <f t="shared" si="34"/>
        <v>87.688207285267083</v>
      </c>
      <c r="H93" s="26">
        <f t="shared" si="47"/>
        <v>34.945190769110759</v>
      </c>
      <c r="I93" s="26">
        <f t="shared" si="35"/>
        <v>34.15407116922816</v>
      </c>
      <c r="J93" s="27">
        <f t="shared" si="48"/>
        <v>0.63832668414017169</v>
      </c>
      <c r="K93" s="155">
        <f t="shared" si="36"/>
        <v>1623.5480387027362</v>
      </c>
      <c r="L93" s="27">
        <f t="shared" si="37"/>
        <v>1258.3541479181697</v>
      </c>
      <c r="M93" s="155">
        <f>'b（手動）計算用'!L96</f>
        <v>0</v>
      </c>
      <c r="N93" s="155">
        <f t="shared" si="38"/>
        <v>914.27422972484783</v>
      </c>
      <c r="O93" s="26">
        <f t="shared" si="49"/>
        <v>30.236967932066996</v>
      </c>
      <c r="P93" s="26">
        <f t="shared" si="39"/>
        <v>14.350323571155865</v>
      </c>
      <c r="Q93" s="26">
        <f t="shared" si="50"/>
        <v>87.688207285267083</v>
      </c>
      <c r="R93" s="26">
        <f t="shared" si="51"/>
        <v>34.945190769110759</v>
      </c>
      <c r="S93" s="26">
        <f t="shared" si="40"/>
        <v>34.15407116922816</v>
      </c>
      <c r="T93" s="27">
        <f t="shared" si="41"/>
        <v>1258.3541479181697</v>
      </c>
      <c r="U93" s="27">
        <f t="shared" si="42"/>
        <v>0</v>
      </c>
      <c r="V93" s="27">
        <f t="shared" si="43"/>
        <v>1320.1818048104608</v>
      </c>
      <c r="W93" s="27">
        <f t="shared" si="44"/>
        <v>1402.0747756755693</v>
      </c>
      <c r="X93" s="15">
        <f t="shared" si="45"/>
        <v>0.89749432038091559</v>
      </c>
      <c r="Y93" s="15">
        <f t="shared" si="52"/>
        <v>0.89749432038091559</v>
      </c>
    </row>
    <row r="94" spans="1:25">
      <c r="A94" s="14">
        <f>'b（手動）計算用'!E97</f>
        <v>102</v>
      </c>
      <c r="B94" s="156">
        <f>'b（手動）計算用'!F97</f>
        <v>914.27422972484783</v>
      </c>
      <c r="C94" s="26">
        <f xml:space="preserve"> '樹高計算 '!N213</f>
        <v>32.426835204152212</v>
      </c>
      <c r="D94" s="26">
        <f>'b（手動）計算用'!G97</f>
        <v>32.426835204152212</v>
      </c>
      <c r="E94" s="26">
        <f t="shared" si="46"/>
        <v>30.236967932066996</v>
      </c>
      <c r="F94" s="26">
        <f t="shared" si="33"/>
        <v>14.376990070153633</v>
      </c>
      <c r="G94" s="26">
        <f t="shared" si="34"/>
        <v>87.832338746258131</v>
      </c>
      <c r="H94" s="26">
        <f t="shared" si="47"/>
        <v>34.973898354613631</v>
      </c>
      <c r="I94" s="26">
        <f t="shared" si="35"/>
        <v>34.181048758593313</v>
      </c>
      <c r="J94" s="27">
        <f t="shared" si="48"/>
        <v>0.64025686946656124</v>
      </c>
      <c r="K94" s="155">
        <f t="shared" si="36"/>
        <v>1621.8287487982466</v>
      </c>
      <c r="L94" s="27">
        <f t="shared" si="37"/>
        <v>1262.7646619933234</v>
      </c>
      <c r="M94" s="155">
        <f>'b（手動）計算用'!L97</f>
        <v>0</v>
      </c>
      <c r="N94" s="155">
        <f t="shared" si="38"/>
        <v>914.27422972484783</v>
      </c>
      <c r="O94" s="26">
        <f t="shared" si="49"/>
        <v>30.236967932066996</v>
      </c>
      <c r="P94" s="26">
        <f t="shared" si="39"/>
        <v>14.376990070153633</v>
      </c>
      <c r="Q94" s="26">
        <f t="shared" si="50"/>
        <v>87.832338746258131</v>
      </c>
      <c r="R94" s="26">
        <f t="shared" si="51"/>
        <v>34.973898354613631</v>
      </c>
      <c r="S94" s="26">
        <f t="shared" si="40"/>
        <v>34.181048758593313</v>
      </c>
      <c r="T94" s="27">
        <f t="shared" si="41"/>
        <v>1262.7646619933234</v>
      </c>
      <c r="U94" s="27">
        <f t="shared" si="42"/>
        <v>0</v>
      </c>
      <c r="V94" s="27">
        <f t="shared" si="43"/>
        <v>1316.6423585599196</v>
      </c>
      <c r="W94" s="27">
        <f t="shared" si="44"/>
        <v>1405.7314162000846</v>
      </c>
      <c r="X94" s="15">
        <f t="shared" si="45"/>
        <v>0.89829724756865503</v>
      </c>
      <c r="Y94" s="15">
        <f t="shared" si="52"/>
        <v>0.89829724756865503</v>
      </c>
    </row>
    <row r="95" spans="1:25">
      <c r="A95" s="14">
        <f>'b（手動）計算用'!E98</f>
        <v>103</v>
      </c>
      <c r="B95" s="156">
        <f>'b（手動）計算用'!F98</f>
        <v>914.27422972484783</v>
      </c>
      <c r="C95" s="26">
        <f xml:space="preserve"> '樹高計算 '!N214</f>
        <v>32.489675237659988</v>
      </c>
      <c r="D95" s="26">
        <f>'b（手動）計算用'!G98</f>
        <v>32.489675237659988</v>
      </c>
      <c r="E95" s="26">
        <f t="shared" si="46"/>
        <v>30.236967932066996</v>
      </c>
      <c r="F95" s="26">
        <f t="shared" si="33"/>
        <v>14.402948371868497</v>
      </c>
      <c r="G95" s="26">
        <f t="shared" si="34"/>
        <v>87.972437848823446</v>
      </c>
      <c r="H95" s="26">
        <f t="shared" si="47"/>
        <v>35.001780223117002</v>
      </c>
      <c r="I95" s="26">
        <f t="shared" si="35"/>
        <v>34.207247027966048</v>
      </c>
      <c r="J95" s="27">
        <f t="shared" si="48"/>
        <v>0.64213711767738635</v>
      </c>
      <c r="K95" s="155">
        <f t="shared" si="36"/>
        <v>1620.1574374469444</v>
      </c>
      <c r="L95" s="27">
        <f t="shared" si="37"/>
        <v>1267.0624804840143</v>
      </c>
      <c r="M95" s="155">
        <f>'b（手動）計算用'!L98</f>
        <v>0</v>
      </c>
      <c r="N95" s="155">
        <f t="shared" si="38"/>
        <v>914.27422972484783</v>
      </c>
      <c r="O95" s="26">
        <f t="shared" si="49"/>
        <v>30.236967932066996</v>
      </c>
      <c r="P95" s="26">
        <f t="shared" si="39"/>
        <v>14.402948371868497</v>
      </c>
      <c r="Q95" s="26">
        <f t="shared" si="50"/>
        <v>87.972437848823446</v>
      </c>
      <c r="R95" s="26">
        <f t="shared" si="51"/>
        <v>35.001780223117002</v>
      </c>
      <c r="S95" s="26">
        <f t="shared" si="40"/>
        <v>34.207247027966048</v>
      </c>
      <c r="T95" s="27">
        <f t="shared" si="41"/>
        <v>1267.0624804840143</v>
      </c>
      <c r="U95" s="27">
        <f t="shared" si="42"/>
        <v>0</v>
      </c>
      <c r="V95" s="27">
        <f t="shared" si="43"/>
        <v>1313.2127611387202</v>
      </c>
      <c r="W95" s="27">
        <f t="shared" si="44"/>
        <v>1409.2930928466874</v>
      </c>
      <c r="X95" s="15">
        <f t="shared" si="45"/>
        <v>0.89907662708019387</v>
      </c>
      <c r="Y95" s="15">
        <f t="shared" si="52"/>
        <v>0.89907662708019387</v>
      </c>
    </row>
    <row r="96" spans="1:25">
      <c r="A96" s="14">
        <f>'b（手動）計算用'!E99</f>
        <v>104</v>
      </c>
      <c r="B96" s="156">
        <f>'b（手動）計算用'!F99</f>
        <v>914.27422972484783</v>
      </c>
      <c r="C96" s="26">
        <f xml:space="preserve"> '樹高計算 '!N215</f>
        <v>32.550846505248529</v>
      </c>
      <c r="D96" s="26">
        <f>'b（手動）計算用'!G99</f>
        <v>32.550846505248529</v>
      </c>
      <c r="E96" s="26">
        <f t="shared" si="46"/>
        <v>30.236967932066996</v>
      </c>
      <c r="F96" s="26">
        <f t="shared" si="33"/>
        <v>14.428217330710595</v>
      </c>
      <c r="G96" s="26">
        <f t="shared" si="34"/>
        <v>88.108623056016498</v>
      </c>
      <c r="H96" s="26">
        <f t="shared" si="47"/>
        <v>35.028861894717316</v>
      </c>
      <c r="I96" s="26">
        <f t="shared" si="35"/>
        <v>34.232690236930701</v>
      </c>
      <c r="J96" s="27">
        <f t="shared" si="48"/>
        <v>0.64396868662187978</v>
      </c>
      <c r="K96" s="155">
        <f t="shared" si="36"/>
        <v>1618.5327046967875</v>
      </c>
      <c r="L96" s="27">
        <f t="shared" si="37"/>
        <v>1271.2503621618644</v>
      </c>
      <c r="M96" s="155">
        <f>'b（手動）計算用'!L99</f>
        <v>0</v>
      </c>
      <c r="N96" s="155">
        <f t="shared" si="38"/>
        <v>914.27422972484783</v>
      </c>
      <c r="O96" s="26">
        <f t="shared" si="49"/>
        <v>30.236967932066996</v>
      </c>
      <c r="P96" s="26">
        <f t="shared" si="39"/>
        <v>14.428217330710595</v>
      </c>
      <c r="Q96" s="26">
        <f t="shared" si="50"/>
        <v>88.108623056016498</v>
      </c>
      <c r="R96" s="26">
        <f t="shared" si="51"/>
        <v>35.028861894717316</v>
      </c>
      <c r="S96" s="26">
        <f t="shared" si="40"/>
        <v>34.232690236930701</v>
      </c>
      <c r="T96" s="27">
        <f t="shared" si="41"/>
        <v>1271.2503621618644</v>
      </c>
      <c r="U96" s="27">
        <f t="shared" si="42"/>
        <v>0</v>
      </c>
      <c r="V96" s="27">
        <f t="shared" si="43"/>
        <v>1309.889161413369</v>
      </c>
      <c r="W96" s="27">
        <f t="shared" si="44"/>
        <v>1412.7622187148331</v>
      </c>
      <c r="X96" s="15">
        <f t="shared" si="45"/>
        <v>0.89983320994972549</v>
      </c>
      <c r="Y96" s="15">
        <f t="shared" si="52"/>
        <v>0.89983320994972549</v>
      </c>
    </row>
    <row r="97" spans="1:25">
      <c r="A97" s="14">
        <f>'b（手動）計算用'!E100</f>
        <v>105</v>
      </c>
      <c r="B97" s="156">
        <f>'b（手動）計算用'!F100</f>
        <v>914.27422972484783</v>
      </c>
      <c r="C97" s="26">
        <f xml:space="preserve"> '樹高計算 '!N216</f>
        <v>32.610393421542035</v>
      </c>
      <c r="D97" s="26">
        <f>'b（手動）計算用'!G100</f>
        <v>32.610393421542035</v>
      </c>
      <c r="E97" s="26">
        <f t="shared" si="46"/>
        <v>30.236967932066996</v>
      </c>
      <c r="F97" s="26">
        <f t="shared" si="33"/>
        <v>14.452815293713677</v>
      </c>
      <c r="G97" s="26">
        <f t="shared" si="34"/>
        <v>88.241009033257441</v>
      </c>
      <c r="H97" s="26">
        <f t="shared" si="47"/>
        <v>35.055168000332337</v>
      </c>
      <c r="I97" s="26">
        <f t="shared" si="35"/>
        <v>34.257401791260442</v>
      </c>
      <c r="J97" s="27">
        <f t="shared" si="48"/>
        <v>0.64575280422041326</v>
      </c>
      <c r="K97" s="155">
        <f t="shared" si="36"/>
        <v>1616.9531947300475</v>
      </c>
      <c r="L97" s="27">
        <f t="shared" si="37"/>
        <v>1275.3310048885899</v>
      </c>
      <c r="M97" s="155">
        <f>'b（手動）計算用'!L100</f>
        <v>0</v>
      </c>
      <c r="N97" s="155">
        <f t="shared" si="38"/>
        <v>914.27422972484783</v>
      </c>
      <c r="O97" s="26">
        <f t="shared" si="49"/>
        <v>30.236967932066996</v>
      </c>
      <c r="P97" s="26">
        <f t="shared" si="39"/>
        <v>14.452815293713677</v>
      </c>
      <c r="Q97" s="26">
        <f t="shared" si="50"/>
        <v>88.241009033257441</v>
      </c>
      <c r="R97" s="26">
        <f t="shared" si="51"/>
        <v>35.055168000332337</v>
      </c>
      <c r="S97" s="26">
        <f t="shared" si="40"/>
        <v>34.257401791260442</v>
      </c>
      <c r="T97" s="27">
        <f t="shared" si="41"/>
        <v>1275.3310048885899</v>
      </c>
      <c r="U97" s="27">
        <f t="shared" si="42"/>
        <v>0</v>
      </c>
      <c r="V97" s="27">
        <f t="shared" si="43"/>
        <v>1306.66786838948</v>
      </c>
      <c r="W97" s="27">
        <f t="shared" si="44"/>
        <v>1416.1411481803698</v>
      </c>
      <c r="X97" s="15">
        <f t="shared" si="45"/>
        <v>0.90056771991075191</v>
      </c>
      <c r="Y97" s="15">
        <f t="shared" si="52"/>
        <v>0.90056771991075191</v>
      </c>
    </row>
    <row r="98" spans="1:25">
      <c r="A98" s="14">
        <f>'b（手動）計算用'!E101</f>
        <v>106</v>
      </c>
      <c r="B98" s="156">
        <f>'b（手動）計算用'!F101</f>
        <v>914.27422972484783</v>
      </c>
      <c r="C98" s="26">
        <f xml:space="preserve"> '樹高計算 '!N217</f>
        <v>32.668359207107322</v>
      </c>
      <c r="D98" s="26">
        <f>'b（手動）計算用'!G101</f>
        <v>32.668359207107322</v>
      </c>
      <c r="E98" s="26">
        <f t="shared" si="46"/>
        <v>30.236967932066996</v>
      </c>
      <c r="F98" s="26">
        <f t="shared" ref="F98:F112" si="53">$AB$11+$AB$12*D98+$AB$13*E98*D98/100</f>
        <v>14.47676011466379</v>
      </c>
      <c r="G98" s="26">
        <f t="shared" ref="G98:G112" si="54">L98/F98</f>
        <v>88.369706787706221</v>
      </c>
      <c r="H98" s="26">
        <f t="shared" si="47"/>
        <v>35.080722318332249</v>
      </c>
      <c r="I98" s="26">
        <f t="shared" ref="I98:I112" si="55">$AB$15+$AB$16*H98+$AB$17*E98*D98/100</f>
        <v>34.281404278478611</v>
      </c>
      <c r="J98" s="27">
        <f t="shared" si="48"/>
        <v>0.64749066908170405</v>
      </c>
      <c r="K98" s="155">
        <f t="shared" ref="K98:K112" si="56">1/(1/$AB$29-J98/($AB$26*$AB$29^$AB$27))</f>
        <v>1615.4175943003406</v>
      </c>
      <c r="L98" s="27">
        <f t="shared" ref="L98:L112" si="57">($AB$2*D98^$AB$3+$AB$4*D98^$AB$5/B98)^-1</f>
        <v>1279.3070465687995</v>
      </c>
      <c r="M98" s="155">
        <f>'b（手動）計算用'!L101</f>
        <v>0</v>
      </c>
      <c r="N98" s="155">
        <f t="shared" ref="N98:N112" si="58">B98-M98</f>
        <v>914.27422972484783</v>
      </c>
      <c r="O98" s="26">
        <f t="shared" si="49"/>
        <v>30.236967932066996</v>
      </c>
      <c r="P98" s="26">
        <f t="shared" ref="P98:P112" si="59">$AB$11+$AB$12*D98+$AB$13*O98*D98/100</f>
        <v>14.47676011466379</v>
      </c>
      <c r="Q98" s="26">
        <f t="shared" si="50"/>
        <v>88.369706787706221</v>
      </c>
      <c r="R98" s="26">
        <f t="shared" si="51"/>
        <v>35.080722318332249</v>
      </c>
      <c r="S98" s="26">
        <f t="shared" ref="S98:S112" si="60">$AB$15+$AB$16*R98+$AB$17*O98*D98/100</f>
        <v>34.281404278478611</v>
      </c>
      <c r="T98" s="27">
        <f t="shared" ref="T98:T112" si="61">($AB$2*D98^$AB$3+$AB$4*D98^$AB$5/N98)^-1</f>
        <v>1279.3070465687995</v>
      </c>
      <c r="U98" s="27">
        <f t="shared" ref="U98:U112" si="62">L98-T98</f>
        <v>0</v>
      </c>
      <c r="V98" s="27">
        <f t="shared" ref="V98:V112" si="63">$AB$22*D98^$AB$21</f>
        <v>1303.5453431416138</v>
      </c>
      <c r="W98" s="27">
        <f t="shared" ref="W98:W112" si="64">($AB$2*D98^$AB$3+$AB$4*D98^$AB$5/V98)^-1</f>
        <v>1419.4321781953433</v>
      </c>
      <c r="X98" s="15">
        <f t="shared" ref="X98:X112" si="65">L98/W98</f>
        <v>0.90128085457052409</v>
      </c>
      <c r="Y98" s="15">
        <f t="shared" si="52"/>
        <v>0.90128085457052409</v>
      </c>
    </row>
    <row r="99" spans="1:25">
      <c r="A99" s="14">
        <f>'b（手動）計算用'!E102</f>
        <v>107</v>
      </c>
      <c r="B99" s="156">
        <f>'b（手動）計算用'!F102</f>
        <v>914.27422972484783</v>
      </c>
      <c r="C99" s="26">
        <f xml:space="preserve"> '樹高計算 '!N218</f>
        <v>32.724785921619691</v>
      </c>
      <c r="D99" s="26">
        <f>'b（手動）計算用'!G102</f>
        <v>32.724785921619691</v>
      </c>
      <c r="E99" s="26">
        <f t="shared" si="46"/>
        <v>30.236967932066996</v>
      </c>
      <c r="F99" s="26">
        <f t="shared" si="53"/>
        <v>14.500069167799628</v>
      </c>
      <c r="G99" s="26">
        <f t="shared" si="54"/>
        <v>88.494823801586136</v>
      </c>
      <c r="H99" s="26">
        <f t="shared" si="47"/>
        <v>35.105547809353929</v>
      </c>
      <c r="I99" s="26">
        <f t="shared" si="55"/>
        <v>34.304719501640776</v>
      </c>
      <c r="J99" s="27">
        <f t="shared" si="48"/>
        <v>0.64918345111316733</v>
      </c>
      <c r="K99" s="155">
        <f t="shared" si="56"/>
        <v>1613.9246312332959</v>
      </c>
      <c r="L99" s="27">
        <f t="shared" si="57"/>
        <v>1283.1810661152399</v>
      </c>
      <c r="M99" s="155">
        <f>'b（手動）計算用'!L102</f>
        <v>0</v>
      </c>
      <c r="N99" s="155">
        <f t="shared" si="58"/>
        <v>914.27422972484783</v>
      </c>
      <c r="O99" s="26">
        <f t="shared" si="49"/>
        <v>30.236967932066996</v>
      </c>
      <c r="P99" s="26">
        <f t="shared" si="59"/>
        <v>14.500069167799628</v>
      </c>
      <c r="Q99" s="26">
        <f t="shared" si="50"/>
        <v>88.494823801586136</v>
      </c>
      <c r="R99" s="26">
        <f t="shared" si="51"/>
        <v>35.105547809353929</v>
      </c>
      <c r="S99" s="26">
        <f t="shared" si="60"/>
        <v>34.304719501640776</v>
      </c>
      <c r="T99" s="27">
        <f t="shared" si="61"/>
        <v>1283.1810661152399</v>
      </c>
      <c r="U99" s="27">
        <f t="shared" si="62"/>
        <v>0</v>
      </c>
      <c r="V99" s="27">
        <f t="shared" si="63"/>
        <v>1300.5181912285491</v>
      </c>
      <c r="W99" s="27">
        <f t="shared" si="64"/>
        <v>1422.6375495661941</v>
      </c>
      <c r="X99" s="15">
        <f t="shared" si="65"/>
        <v>0.90197328652440056</v>
      </c>
      <c r="Y99" s="15">
        <f t="shared" si="52"/>
        <v>0.90197328652440056</v>
      </c>
    </row>
    <row r="100" spans="1:25">
      <c r="A100" s="14">
        <f>'b（手動）計算用'!E103</f>
        <v>108</v>
      </c>
      <c r="B100" s="156">
        <f>'b（手動）計算用'!F103</f>
        <v>914.27422972484783</v>
      </c>
      <c r="C100" s="26">
        <f xml:space="preserve"> '樹高計算 '!N219</f>
        <v>32.779714496027857</v>
      </c>
      <c r="D100" s="26">
        <f>'b（手動）計算用'!G103</f>
        <v>32.779714496027857</v>
      </c>
      <c r="E100" s="26">
        <f t="shared" si="46"/>
        <v>30.236967932066996</v>
      </c>
      <c r="F100" s="26">
        <f t="shared" si="53"/>
        <v>14.522759361099382</v>
      </c>
      <c r="G100" s="26">
        <f t="shared" si="54"/>
        <v>88.616464159762302</v>
      </c>
      <c r="H100" s="26">
        <f t="shared" si="47"/>
        <v>35.129666649404044</v>
      </c>
      <c r="I100" s="26">
        <f t="shared" si="55"/>
        <v>34.327368511441513</v>
      </c>
      <c r="J100" s="27">
        <f t="shared" si="48"/>
        <v>0.65083229212398408</v>
      </c>
      <c r="K100" s="155">
        <f t="shared" si="56"/>
        <v>1612.4730729879557</v>
      </c>
      <c r="L100" s="27">
        <f t="shared" si="57"/>
        <v>1286.9555844237159</v>
      </c>
      <c r="M100" s="155">
        <f>'b（手動）計算用'!L103</f>
        <v>0</v>
      </c>
      <c r="N100" s="155">
        <f t="shared" si="58"/>
        <v>914.27422972484783</v>
      </c>
      <c r="O100" s="26">
        <f t="shared" si="49"/>
        <v>30.236967932066996</v>
      </c>
      <c r="P100" s="26">
        <f t="shared" si="59"/>
        <v>14.522759361099382</v>
      </c>
      <c r="Q100" s="26">
        <f t="shared" si="50"/>
        <v>88.616464159762302</v>
      </c>
      <c r="R100" s="26">
        <f t="shared" si="51"/>
        <v>35.129666649404044</v>
      </c>
      <c r="S100" s="26">
        <f t="shared" si="60"/>
        <v>34.327368511441513</v>
      </c>
      <c r="T100" s="27">
        <f t="shared" si="61"/>
        <v>1286.9555844237159</v>
      </c>
      <c r="U100" s="27">
        <f t="shared" si="62"/>
        <v>0</v>
      </c>
      <c r="V100" s="27">
        <f t="shared" si="63"/>
        <v>1297.5831555602529</v>
      </c>
      <c r="W100" s="27">
        <f t="shared" si="64"/>
        <v>1425.7594482101283</v>
      </c>
      <c r="X100" s="15">
        <f t="shared" si="65"/>
        <v>0.90264566441368199</v>
      </c>
      <c r="Y100" s="15">
        <f t="shared" si="52"/>
        <v>0.90264566441368199</v>
      </c>
    </row>
    <row r="101" spans="1:25">
      <c r="A101" s="14">
        <f>'b（手動）計算用'!E104</f>
        <v>109</v>
      </c>
      <c r="B101" s="156">
        <f>'b（手動）計算用'!F104</f>
        <v>914.27422972484783</v>
      </c>
      <c r="C101" s="26">
        <f xml:space="preserve"> '樹高計算 '!N220</f>
        <v>32.833184763753202</v>
      </c>
      <c r="D101" s="26">
        <f>'b（手動）計算用'!G104</f>
        <v>32.833184763753202</v>
      </c>
      <c r="E101" s="26">
        <f t="shared" si="46"/>
        <v>30.236967932066996</v>
      </c>
      <c r="F101" s="26">
        <f t="shared" si="53"/>
        <v>14.54484714916871</v>
      </c>
      <c r="G101" s="26">
        <f t="shared" si="54"/>
        <v>88.734728671867444</v>
      </c>
      <c r="H101" s="26">
        <f t="shared" si="47"/>
        <v>35.153100261350531</v>
      </c>
      <c r="I101" s="26">
        <f t="shared" si="55"/>
        <v>34.349371636743811</v>
      </c>
      <c r="J101" s="27">
        <f t="shared" si="48"/>
        <v>0.65243830642056366</v>
      </c>
      <c r="K101" s="155">
        <f t="shared" si="56"/>
        <v>1611.0617252761119</v>
      </c>
      <c r="L101" s="27">
        <f t="shared" si="57"/>
        <v>1290.6330653552702</v>
      </c>
      <c r="M101" s="155">
        <f>'b（手動）計算用'!L104</f>
        <v>0</v>
      </c>
      <c r="N101" s="155">
        <f t="shared" si="58"/>
        <v>914.27422972484783</v>
      </c>
      <c r="O101" s="26">
        <f t="shared" si="49"/>
        <v>30.236967932066996</v>
      </c>
      <c r="P101" s="26">
        <f t="shared" si="59"/>
        <v>14.54484714916871</v>
      </c>
      <c r="Q101" s="26">
        <f t="shared" si="50"/>
        <v>88.734728671867444</v>
      </c>
      <c r="R101" s="26">
        <f t="shared" si="51"/>
        <v>35.153100261350531</v>
      </c>
      <c r="S101" s="26">
        <f t="shared" si="60"/>
        <v>34.349371636743811</v>
      </c>
      <c r="T101" s="27">
        <f t="shared" si="61"/>
        <v>1290.6330653552702</v>
      </c>
      <c r="U101" s="27">
        <f t="shared" si="62"/>
        <v>0</v>
      </c>
      <c r="V101" s="27">
        <f t="shared" si="63"/>
        <v>1294.7371096853851</v>
      </c>
      <c r="W101" s="27">
        <f t="shared" si="64"/>
        <v>1428.800006389622</v>
      </c>
      <c r="X101" s="15">
        <f t="shared" si="65"/>
        <v>0.90329861393024458</v>
      </c>
      <c r="Y101" s="15">
        <f t="shared" si="52"/>
        <v>0.90329861393024458</v>
      </c>
    </row>
    <row r="102" spans="1:25">
      <c r="A102" s="14">
        <f>'b（手動）計算用'!E105</f>
        <v>110</v>
      </c>
      <c r="B102" s="156">
        <f>'b（手動）計算用'!F105</f>
        <v>914.27422972484783</v>
      </c>
      <c r="C102" s="26">
        <f xml:space="preserve"> '樹高計算 '!N221</f>
        <v>32.885235490956617</v>
      </c>
      <c r="D102" s="26">
        <f>'b（手動）計算用'!G105</f>
        <v>32.885235490956617</v>
      </c>
      <c r="E102" s="26">
        <f t="shared" si="46"/>
        <v>30.236967932066996</v>
      </c>
      <c r="F102" s="26">
        <f t="shared" si="53"/>
        <v>14.566348545743505</v>
      </c>
      <c r="G102" s="26">
        <f t="shared" si="54"/>
        <v>88.849714989248284</v>
      </c>
      <c r="H102" s="26">
        <f t="shared" si="47"/>
        <v>35.175869344894998</v>
      </c>
      <c r="I102" s="26">
        <f t="shared" si="55"/>
        <v>34.370748513622367</v>
      </c>
      <c r="J102" s="27">
        <f t="shared" si="48"/>
        <v>0.65400258139408884</v>
      </c>
      <c r="K102" s="155">
        <f t="shared" si="56"/>
        <v>1609.6894307369373</v>
      </c>
      <c r="L102" s="27">
        <f t="shared" si="57"/>
        <v>1294.2159167233617</v>
      </c>
      <c r="M102" s="155">
        <f>'b（手動）計算用'!L105</f>
        <v>0</v>
      </c>
      <c r="N102" s="155">
        <f t="shared" si="58"/>
        <v>914.27422972484783</v>
      </c>
      <c r="O102" s="26">
        <f t="shared" si="49"/>
        <v>30.236967932066996</v>
      </c>
      <c r="P102" s="26">
        <f t="shared" si="59"/>
        <v>14.566348545743505</v>
      </c>
      <c r="Q102" s="26">
        <f t="shared" si="50"/>
        <v>88.849714989248284</v>
      </c>
      <c r="R102" s="26">
        <f t="shared" si="51"/>
        <v>35.175869344894998</v>
      </c>
      <c r="S102" s="26">
        <f t="shared" si="60"/>
        <v>34.370748513622367</v>
      </c>
      <c r="T102" s="27">
        <f t="shared" si="61"/>
        <v>1294.2159167233617</v>
      </c>
      <c r="U102" s="27">
        <f t="shared" si="62"/>
        <v>0</v>
      </c>
      <c r="V102" s="27">
        <f t="shared" si="63"/>
        <v>1291.9770514706329</v>
      </c>
      <c r="W102" s="27">
        <f t="shared" si="64"/>
        <v>1431.761303924977</v>
      </c>
      <c r="X102" s="15">
        <f t="shared" si="65"/>
        <v>0.90393273877108316</v>
      </c>
      <c r="Y102" s="15">
        <f t="shared" si="52"/>
        <v>0.90393273877108316</v>
      </c>
    </row>
    <row r="103" spans="1:25">
      <c r="A103" s="14">
        <f>'b（手動）計算用'!E106</f>
        <v>111</v>
      </c>
      <c r="B103" s="156">
        <f>'b（手動）計算用'!F106</f>
        <v>914.27422972484783</v>
      </c>
      <c r="C103" s="26">
        <f xml:space="preserve"> '樹高計算 '!N222</f>
        <v>32.935904405905355</v>
      </c>
      <c r="D103" s="26">
        <f>'b（手動）計算用'!G106</f>
        <v>32.935904405905355</v>
      </c>
      <c r="E103" s="26">
        <f t="shared" si="46"/>
        <v>30.236967932066996</v>
      </c>
      <c r="F103" s="26">
        <f t="shared" si="53"/>
        <v>14.58727913582095</v>
      </c>
      <c r="G103" s="26">
        <f t="shared" si="54"/>
        <v>88.961517716991011</v>
      </c>
      <c r="H103" s="26">
        <f t="shared" si="47"/>
        <v>35.197993905112753</v>
      </c>
      <c r="I103" s="26">
        <f t="shared" si="55"/>
        <v>34.391518113005951</v>
      </c>
      <c r="J103" s="27">
        <f t="shared" si="48"/>
        <v>0.65552617809990121</v>
      </c>
      <c r="K103" s="155">
        <f t="shared" si="56"/>
        <v>1608.3550676643856</v>
      </c>
      <c r="L103" s="27">
        <f t="shared" si="57"/>
        <v>1297.7064912840287</v>
      </c>
      <c r="M103" s="155">
        <f>'b（手動）計算用'!L106</f>
        <v>0</v>
      </c>
      <c r="N103" s="155">
        <f t="shared" si="58"/>
        <v>914.27422972484783</v>
      </c>
      <c r="O103" s="26">
        <f t="shared" si="49"/>
        <v>30.236967932066996</v>
      </c>
      <c r="P103" s="26">
        <f t="shared" si="59"/>
        <v>14.58727913582095</v>
      </c>
      <c r="Q103" s="26">
        <f t="shared" si="50"/>
        <v>88.961517716991011</v>
      </c>
      <c r="R103" s="26">
        <f t="shared" si="51"/>
        <v>35.197993905112753</v>
      </c>
      <c r="S103" s="26">
        <f t="shared" si="60"/>
        <v>34.391518113005951</v>
      </c>
      <c r="T103" s="27">
        <f t="shared" si="61"/>
        <v>1297.7064912840287</v>
      </c>
      <c r="U103" s="27">
        <f t="shared" si="62"/>
        <v>0</v>
      </c>
      <c r="V103" s="27">
        <f t="shared" si="63"/>
        <v>1289.3000971453662</v>
      </c>
      <c r="W103" s="27">
        <f t="shared" si="64"/>
        <v>1434.645369384953</v>
      </c>
      <c r="X103" s="15">
        <f t="shared" si="65"/>
        <v>0.90454862154566362</v>
      </c>
      <c r="Y103" s="15">
        <f t="shared" si="52"/>
        <v>0.90454862154566362</v>
      </c>
    </row>
    <row r="104" spans="1:25">
      <c r="A104" s="14">
        <f>'b（手動）計算用'!E107</f>
        <v>112</v>
      </c>
      <c r="B104" s="156">
        <f>'b（手動）計算用'!F107</f>
        <v>914.27422972484783</v>
      </c>
      <c r="C104" s="26">
        <f xml:space="preserve"> '樹高計算 '!N223</f>
        <v>32.985228227470728</v>
      </c>
      <c r="D104" s="26">
        <f>'b（手動）計算用'!G107</f>
        <v>32.985228227470728</v>
      </c>
      <c r="E104" s="26">
        <f t="shared" si="46"/>
        <v>30.236967932066996</v>
      </c>
      <c r="F104" s="26">
        <f t="shared" si="53"/>
        <v>14.607654087431465</v>
      </c>
      <c r="G104" s="26">
        <f t="shared" si="54"/>
        <v>89.070228521269541</v>
      </c>
      <c r="H104" s="26">
        <f t="shared" si="47"/>
        <v>35.219493279641348</v>
      </c>
      <c r="I104" s="26">
        <f t="shared" si="55"/>
        <v>34.411698766998484</v>
      </c>
      <c r="J104" s="27">
        <f t="shared" si="48"/>
        <v>0.65701013182850654</v>
      </c>
      <c r="K104" s="155">
        <f t="shared" si="56"/>
        <v>1607.0575487849733</v>
      </c>
      <c r="L104" s="27">
        <f t="shared" si="57"/>
        <v>1301.1070877271777</v>
      </c>
      <c r="M104" s="155">
        <f>'b（手動）計算用'!L107</f>
        <v>0</v>
      </c>
      <c r="N104" s="155">
        <f t="shared" si="58"/>
        <v>914.27422972484783</v>
      </c>
      <c r="O104" s="26">
        <f t="shared" si="49"/>
        <v>30.236967932066996</v>
      </c>
      <c r="P104" s="26">
        <f t="shared" si="59"/>
        <v>14.607654087431465</v>
      </c>
      <c r="Q104" s="26">
        <f t="shared" si="50"/>
        <v>89.070228521269541</v>
      </c>
      <c r="R104" s="26">
        <f t="shared" si="51"/>
        <v>35.219493279641348</v>
      </c>
      <c r="S104" s="26">
        <f t="shared" si="60"/>
        <v>34.411698766998484</v>
      </c>
      <c r="T104" s="27">
        <f t="shared" si="61"/>
        <v>1301.1070877271777</v>
      </c>
      <c r="U104" s="27">
        <f t="shared" si="62"/>
        <v>0</v>
      </c>
      <c r="V104" s="27">
        <f t="shared" si="63"/>
        <v>1286.7034756871406</v>
      </c>
      <c r="W104" s="27">
        <f t="shared" si="64"/>
        <v>1437.4541812555001</v>
      </c>
      <c r="X104" s="15">
        <f t="shared" si="65"/>
        <v>0.90514682463879703</v>
      </c>
      <c r="Y104" s="15">
        <f t="shared" si="52"/>
        <v>0.90514682463879703</v>
      </c>
    </row>
    <row r="105" spans="1:25">
      <c r="A105" s="14">
        <f>'b（手動）計算用'!E108</f>
        <v>113</v>
      </c>
      <c r="B105" s="156">
        <f>'b（手動）計算用'!F108</f>
        <v>914.27422972484783</v>
      </c>
      <c r="C105" s="26">
        <f xml:space="preserve"> '樹高計算 '!N224</f>
        <v>33.033242692786509</v>
      </c>
      <c r="D105" s="26">
        <f>'b（手動）計算用'!G108</f>
        <v>33.033242692786509</v>
      </c>
      <c r="E105" s="26">
        <f t="shared" si="46"/>
        <v>30.236967932066996</v>
      </c>
      <c r="F105" s="26">
        <f t="shared" si="53"/>
        <v>14.627488163064012</v>
      </c>
      <c r="G105" s="26">
        <f t="shared" si="54"/>
        <v>89.175936232247111</v>
      </c>
      <c r="H105" s="26">
        <f t="shared" si="47"/>
        <v>35.24038616459341</v>
      </c>
      <c r="I105" s="26">
        <f t="shared" si="55"/>
        <v>34.431308193953377</v>
      </c>
      <c r="J105" s="27">
        <f t="shared" si="48"/>
        <v>0.65845545266803296</v>
      </c>
      <c r="K105" s="155">
        <f t="shared" si="56"/>
        <v>1605.7958200836542</v>
      </c>
      <c r="L105" s="27">
        <f t="shared" si="57"/>
        <v>1304.4199516673457</v>
      </c>
      <c r="M105" s="155">
        <f>'b（手動）計算用'!L108</f>
        <v>0</v>
      </c>
      <c r="N105" s="155">
        <f t="shared" si="58"/>
        <v>914.27422972484783</v>
      </c>
      <c r="O105" s="26">
        <f t="shared" si="49"/>
        <v>30.236967932066996</v>
      </c>
      <c r="P105" s="26">
        <f t="shared" si="59"/>
        <v>14.627488163064012</v>
      </c>
      <c r="Q105" s="26">
        <f t="shared" si="50"/>
        <v>89.175936232247111</v>
      </c>
      <c r="R105" s="26">
        <f t="shared" si="51"/>
        <v>35.24038616459341</v>
      </c>
      <c r="S105" s="26">
        <f t="shared" si="60"/>
        <v>34.431308193953377</v>
      </c>
      <c r="T105" s="27">
        <f t="shared" si="61"/>
        <v>1304.4199516673457</v>
      </c>
      <c r="U105" s="27">
        <f t="shared" si="62"/>
        <v>0</v>
      </c>
      <c r="V105" s="27">
        <f t="shared" si="63"/>
        <v>1284.1845235253961</v>
      </c>
      <c r="W105" s="27">
        <f t="shared" si="64"/>
        <v>1440.1896690866847</v>
      </c>
      <c r="X105" s="15">
        <f t="shared" si="65"/>
        <v>0.90572789103157558</v>
      </c>
      <c r="Y105" s="15">
        <f t="shared" si="52"/>
        <v>0.90572789103157558</v>
      </c>
    </row>
    <row r="106" spans="1:25">
      <c r="A106" s="14">
        <f>'b（手動）計算用'!E109</f>
        <v>114</v>
      </c>
      <c r="B106" s="156">
        <f>'b（手動）計算用'!F109</f>
        <v>914.27422972484783</v>
      </c>
      <c r="C106" s="26">
        <f xml:space="preserve"> '樹高計算 '!N225</f>
        <v>33.079982584096534</v>
      </c>
      <c r="D106" s="26">
        <f>'b（手動）計算用'!G109</f>
        <v>33.079982584096534</v>
      </c>
      <c r="E106" s="26">
        <f t="shared" si="46"/>
        <v>30.236967932066996</v>
      </c>
      <c r="F106" s="26">
        <f t="shared" si="53"/>
        <v>14.646795730756434</v>
      </c>
      <c r="G106" s="26">
        <f t="shared" si="54"/>
        <v>89.278726942749174</v>
      </c>
      <c r="H106" s="26">
        <f t="shared" si="47"/>
        <v>35.260690639264986</v>
      </c>
      <c r="I106" s="26">
        <f t="shared" si="55"/>
        <v>34.45036352237112</v>
      </c>
      <c r="J106" s="27">
        <f t="shared" si="48"/>
        <v>0.65986312605799757</v>
      </c>
      <c r="K106" s="155">
        <f t="shared" si="56"/>
        <v>1604.5688596756213</v>
      </c>
      <c r="L106" s="27">
        <f t="shared" si="57"/>
        <v>1307.647276632428</v>
      </c>
      <c r="M106" s="155">
        <f>'b（手動）計算用'!L109</f>
        <v>0</v>
      </c>
      <c r="N106" s="155">
        <f t="shared" si="58"/>
        <v>914.27422972484783</v>
      </c>
      <c r="O106" s="26">
        <f t="shared" si="49"/>
        <v>30.236967932066996</v>
      </c>
      <c r="P106" s="26">
        <f t="shared" si="59"/>
        <v>14.646795730756434</v>
      </c>
      <c r="Q106" s="26">
        <f t="shared" si="50"/>
        <v>89.278726942749174</v>
      </c>
      <c r="R106" s="26">
        <f t="shared" si="51"/>
        <v>35.260690639264986</v>
      </c>
      <c r="S106" s="26">
        <f t="shared" si="60"/>
        <v>34.45036352237112</v>
      </c>
      <c r="T106" s="27">
        <f t="shared" si="61"/>
        <v>1307.647276632428</v>
      </c>
      <c r="U106" s="27">
        <f t="shared" si="62"/>
        <v>0</v>
      </c>
      <c r="V106" s="27">
        <f t="shared" si="63"/>
        <v>1281.740679542412</v>
      </c>
      <c r="W106" s="27">
        <f t="shared" si="64"/>
        <v>1442.8537146179176</v>
      </c>
      <c r="X106" s="15">
        <f t="shared" si="65"/>
        <v>0.90629234508274892</v>
      </c>
      <c r="Y106" s="15">
        <f t="shared" si="52"/>
        <v>0.90629234508274892</v>
      </c>
    </row>
    <row r="107" spans="1:25">
      <c r="A107" s="14">
        <f>'b（手動）計算用'!E110</f>
        <v>115</v>
      </c>
      <c r="B107" s="156">
        <f>'b（手動）計算用'!F110</f>
        <v>914.27422972484783</v>
      </c>
      <c r="C107" s="26">
        <f xml:space="preserve"> '樹高計算 '!N226</f>
        <v>33.1254817548188</v>
      </c>
      <c r="D107" s="26">
        <f>'b（手動）計算用'!G110</f>
        <v>33.1254817548188</v>
      </c>
      <c r="E107" s="26">
        <f t="shared" si="46"/>
        <v>30.236967932066996</v>
      </c>
      <c r="F107" s="26">
        <f t="shared" si="53"/>
        <v>14.665590774862173</v>
      </c>
      <c r="G107" s="26">
        <f t="shared" si="54"/>
        <v>89.378684102911407</v>
      </c>
      <c r="H107" s="26">
        <f t="shared" si="47"/>
        <v>35.280424189705215</v>
      </c>
      <c r="I107" s="26">
        <f t="shared" si="55"/>
        <v>34.468881313684811</v>
      </c>
      <c r="J107" s="27">
        <f t="shared" si="48"/>
        <v>0.66123411333426219</v>
      </c>
      <c r="K107" s="155">
        <f t="shared" si="56"/>
        <v>1603.3756767219795</v>
      </c>
      <c r="L107" s="27">
        <f t="shared" si="57"/>
        <v>1310.7912050489779</v>
      </c>
      <c r="M107" s="155">
        <f>'b（手動）計算用'!L110</f>
        <v>0</v>
      </c>
      <c r="N107" s="155">
        <f t="shared" si="58"/>
        <v>914.27422972484783</v>
      </c>
      <c r="O107" s="26">
        <f t="shared" si="49"/>
        <v>30.236967932066996</v>
      </c>
      <c r="P107" s="26">
        <f t="shared" si="59"/>
        <v>14.665590774862173</v>
      </c>
      <c r="Q107" s="26">
        <f t="shared" si="50"/>
        <v>89.378684102911407</v>
      </c>
      <c r="R107" s="26">
        <f t="shared" si="51"/>
        <v>35.280424189705215</v>
      </c>
      <c r="S107" s="26">
        <f t="shared" si="60"/>
        <v>34.468881313684811</v>
      </c>
      <c r="T107" s="27">
        <f t="shared" si="61"/>
        <v>1310.7912050489779</v>
      </c>
      <c r="U107" s="27">
        <f t="shared" si="62"/>
        <v>0</v>
      </c>
      <c r="V107" s="27">
        <f t="shared" si="63"/>
        <v>1279.3694803521596</v>
      </c>
      <c r="W107" s="27">
        <f t="shared" si="64"/>
        <v>1445.4481528816077</v>
      </c>
      <c r="X107" s="15">
        <f t="shared" si="65"/>
        <v>0.9068406932727533</v>
      </c>
      <c r="Y107" s="15">
        <f t="shared" si="52"/>
        <v>0.9068406932727533</v>
      </c>
    </row>
    <row r="108" spans="1:25">
      <c r="A108" s="14">
        <f>'b（手動）計算用'!E111</f>
        <v>116</v>
      </c>
      <c r="B108" s="156">
        <f>'b（手動）計算用'!F111</f>
        <v>914.27422972484783</v>
      </c>
      <c r="C108" s="26">
        <f xml:space="preserve"> '樹高計算 '!N227</f>
        <v>33.169773154852507</v>
      </c>
      <c r="D108" s="26">
        <f>'b（手動）計算用'!G111</f>
        <v>33.169773154852507</v>
      </c>
      <c r="E108" s="26">
        <f t="shared" si="46"/>
        <v>30.236967932066996</v>
      </c>
      <c r="F108" s="26">
        <f t="shared" si="53"/>
        <v>14.683886906504219</v>
      </c>
      <c r="G108" s="26">
        <f t="shared" si="54"/>
        <v>89.475888610998652</v>
      </c>
      <c r="H108" s="26">
        <f t="shared" si="47"/>
        <v>35.299603731210233</v>
      </c>
      <c r="I108" s="26">
        <f t="shared" si="55"/>
        <v>34.486877583995572</v>
      </c>
      <c r="J108" s="27">
        <f t="shared" si="48"/>
        <v>0.66256935226509339</v>
      </c>
      <c r="K108" s="155">
        <f t="shared" si="56"/>
        <v>1602.2153103873261</v>
      </c>
      <c r="L108" s="27">
        <f t="shared" si="57"/>
        <v>1313.8538292228729</v>
      </c>
      <c r="M108" s="155">
        <f>'b（手動）計算用'!L111</f>
        <v>0</v>
      </c>
      <c r="N108" s="155">
        <f t="shared" si="58"/>
        <v>914.27422972484783</v>
      </c>
      <c r="O108" s="26">
        <f t="shared" si="49"/>
        <v>30.236967932066996</v>
      </c>
      <c r="P108" s="26">
        <f t="shared" si="59"/>
        <v>14.683886906504219</v>
      </c>
      <c r="Q108" s="26">
        <f t="shared" si="50"/>
        <v>89.475888610998652</v>
      </c>
      <c r="R108" s="26">
        <f t="shared" si="51"/>
        <v>35.299603731210233</v>
      </c>
      <c r="S108" s="26">
        <f t="shared" si="60"/>
        <v>34.486877583995572</v>
      </c>
      <c r="T108" s="27">
        <f t="shared" si="61"/>
        <v>1313.8538292228729</v>
      </c>
      <c r="U108" s="27">
        <f t="shared" si="62"/>
        <v>0</v>
      </c>
      <c r="V108" s="27">
        <f t="shared" si="63"/>
        <v>1277.0685558390626</v>
      </c>
      <c r="W108" s="27">
        <f t="shared" si="64"/>
        <v>1447.9747732854109</v>
      </c>
      <c r="X108" s="15">
        <f t="shared" si="65"/>
        <v>0.90737342491249229</v>
      </c>
      <c r="Y108" s="15">
        <f t="shared" si="52"/>
        <v>0.90737342491249229</v>
      </c>
    </row>
    <row r="109" spans="1:25">
      <c r="A109" s="14">
        <f>'b（手動）計算用'!E112</f>
        <v>117</v>
      </c>
      <c r="B109" s="156">
        <f>'b（手動）計算用'!F112</f>
        <v>914.27422972484783</v>
      </c>
      <c r="C109" s="26">
        <f xml:space="preserve"> '樹高計算 '!N228</f>
        <v>33.212888855153139</v>
      </c>
      <c r="D109" s="26">
        <f>'b（手動）計算用'!G112</f>
        <v>33.212888855153139</v>
      </c>
      <c r="E109" s="26">
        <f t="shared" si="46"/>
        <v>30.236967932066996</v>
      </c>
      <c r="F109" s="26">
        <f t="shared" si="53"/>
        <v>14.701697373726724</v>
      </c>
      <c r="G109" s="26">
        <f t="shared" si="54"/>
        <v>89.570418900576982</v>
      </c>
      <c r="H109" s="26">
        <f t="shared" si="47"/>
        <v>35.318245629799122</v>
      </c>
      <c r="I109" s="26">
        <f t="shared" si="55"/>
        <v>34.504367824814459</v>
      </c>
      <c r="J109" s="27">
        <f t="shared" si="48"/>
        <v>0.66386975757826627</v>
      </c>
      <c r="K109" s="155">
        <f t="shared" si="56"/>
        <v>1601.0868288373729</v>
      </c>
      <c r="L109" s="27">
        <f t="shared" si="57"/>
        <v>1316.8371923142151</v>
      </c>
      <c r="M109" s="155">
        <f>'b（手動）計算用'!L112</f>
        <v>0</v>
      </c>
      <c r="N109" s="155">
        <f t="shared" si="58"/>
        <v>914.27422972484783</v>
      </c>
      <c r="O109" s="26">
        <f t="shared" si="49"/>
        <v>30.236967932066996</v>
      </c>
      <c r="P109" s="26">
        <f t="shared" si="59"/>
        <v>14.701697373726724</v>
      </c>
      <c r="Q109" s="26">
        <f t="shared" si="50"/>
        <v>89.570418900576982</v>
      </c>
      <c r="R109" s="26">
        <f t="shared" si="51"/>
        <v>35.318245629799122</v>
      </c>
      <c r="S109" s="26">
        <f t="shared" si="60"/>
        <v>34.504367824814459</v>
      </c>
      <c r="T109" s="27">
        <f t="shared" si="61"/>
        <v>1316.8371923142151</v>
      </c>
      <c r="U109" s="27">
        <f t="shared" si="62"/>
        <v>0</v>
      </c>
      <c r="V109" s="27">
        <f t="shared" si="63"/>
        <v>1274.8356249400451</v>
      </c>
      <c r="W109" s="27">
        <f t="shared" si="64"/>
        <v>1450.4353206732596</v>
      </c>
      <c r="X109" s="15">
        <f t="shared" si="65"/>
        <v>0.9078910128188058</v>
      </c>
      <c r="Y109" s="15">
        <f t="shared" si="52"/>
        <v>0.9078910128188058</v>
      </c>
    </row>
    <row r="110" spans="1:25">
      <c r="A110" s="14">
        <f>'b（手動）計算用'!E113</f>
        <v>118</v>
      </c>
      <c r="B110" s="156">
        <f>'b（手動）計算用'!F113</f>
        <v>914.27422972484783</v>
      </c>
      <c r="C110" s="26">
        <f xml:space="preserve"> '樹高計算 '!N229</f>
        <v>33.254860071599857</v>
      </c>
      <c r="D110" s="26">
        <f>'b（手動）計算用'!G113</f>
        <v>33.254860071599857</v>
      </c>
      <c r="E110" s="26">
        <f t="shared" si="46"/>
        <v>30.236967932066996</v>
      </c>
      <c r="F110" s="26">
        <f t="shared" si="53"/>
        <v>14.719035071354289</v>
      </c>
      <c r="G110" s="26">
        <f t="shared" si="54"/>
        <v>89.662351024211674</v>
      </c>
      <c r="H110" s="26">
        <f t="shared" si="47"/>
        <v>35.336365722726782</v>
      </c>
      <c r="I110" s="26">
        <f t="shared" si="55"/>
        <v>34.521367022865043</v>
      </c>
      <c r="J110" s="27">
        <f t="shared" si="48"/>
        <v>0.66513622147915419</v>
      </c>
      <c r="K110" s="155">
        <f t="shared" si="56"/>
        <v>1599.9893282748465</v>
      </c>
      <c r="L110" s="27">
        <f t="shared" si="57"/>
        <v>1319.7432893054508</v>
      </c>
      <c r="M110" s="155">
        <f>'b（手動）計算用'!L113</f>
        <v>0</v>
      </c>
      <c r="N110" s="155">
        <f t="shared" si="58"/>
        <v>914.27422972484783</v>
      </c>
      <c r="O110" s="26">
        <f t="shared" si="49"/>
        <v>30.236967932066996</v>
      </c>
      <c r="P110" s="26">
        <f t="shared" si="59"/>
        <v>14.719035071354289</v>
      </c>
      <c r="Q110" s="26">
        <f t="shared" si="50"/>
        <v>89.662351024211674</v>
      </c>
      <c r="R110" s="26">
        <f t="shared" si="51"/>
        <v>35.336365722726782</v>
      </c>
      <c r="S110" s="26">
        <f t="shared" si="60"/>
        <v>34.521367022865043</v>
      </c>
      <c r="T110" s="27">
        <f t="shared" si="61"/>
        <v>1319.7432893054508</v>
      </c>
      <c r="U110" s="27">
        <f t="shared" si="62"/>
        <v>0</v>
      </c>
      <c r="V110" s="27">
        <f t="shared" si="63"/>
        <v>1272.6684916544179</v>
      </c>
      <c r="W110" s="27">
        <f t="shared" si="64"/>
        <v>1452.8314963653481</v>
      </c>
      <c r="X110" s="15">
        <f t="shared" si="65"/>
        <v>0.90839391395846425</v>
      </c>
      <c r="Y110" s="15">
        <f t="shared" si="52"/>
        <v>0.90839391395846425</v>
      </c>
    </row>
    <row r="111" spans="1:25">
      <c r="A111" s="14">
        <f>'b（手動）計算用'!E114</f>
        <v>119</v>
      </c>
      <c r="B111" s="156">
        <f>'b（手動）計算用'!F114</f>
        <v>914.27422972484783</v>
      </c>
      <c r="C111" s="26">
        <f xml:space="preserve"> '樹高計算 '!N230</f>
        <v>33.295717188178457</v>
      </c>
      <c r="D111" s="26">
        <f>'b（手動）計算用'!G114</f>
        <v>33.295717188178457</v>
      </c>
      <c r="E111" s="26">
        <f t="shared" si="46"/>
        <v>30.236967932066996</v>
      </c>
      <c r="F111" s="26">
        <f t="shared" si="53"/>
        <v>14.735912550568479</v>
      </c>
      <c r="G111" s="26">
        <f t="shared" si="54"/>
        <v>89.751758733857116</v>
      </c>
      <c r="H111" s="26">
        <f t="shared" si="47"/>
        <v>35.353979338085239</v>
      </c>
      <c r="I111" s="26">
        <f t="shared" si="55"/>
        <v>34.537889678996962</v>
      </c>
      <c r="J111" s="27">
        <f t="shared" si="48"/>
        <v>0.6663696141597989</v>
      </c>
      <c r="K111" s="155">
        <f t="shared" si="56"/>
        <v>1598.9219320119719</v>
      </c>
      <c r="L111" s="27">
        <f t="shared" si="57"/>
        <v>1322.5740679618391</v>
      </c>
      <c r="M111" s="155">
        <f>'b（手動）計算用'!L114</f>
        <v>0</v>
      </c>
      <c r="N111" s="155">
        <f t="shared" si="58"/>
        <v>914.27422972484783</v>
      </c>
      <c r="O111" s="26">
        <f t="shared" si="49"/>
        <v>30.236967932066996</v>
      </c>
      <c r="P111" s="26">
        <f t="shared" si="59"/>
        <v>14.735912550568479</v>
      </c>
      <c r="Q111" s="26">
        <f t="shared" si="50"/>
        <v>89.751758733857116</v>
      </c>
      <c r="R111" s="26">
        <f t="shared" si="51"/>
        <v>35.353979338085239</v>
      </c>
      <c r="S111" s="26">
        <f t="shared" si="60"/>
        <v>34.537889678996962</v>
      </c>
      <c r="T111" s="27">
        <f t="shared" si="61"/>
        <v>1322.5740679618391</v>
      </c>
      <c r="U111" s="27">
        <f t="shared" si="62"/>
        <v>0</v>
      </c>
      <c r="V111" s="27">
        <f t="shared" si="63"/>
        <v>1270.5650412672685</v>
      </c>
      <c r="W111" s="27">
        <f t="shared" si="64"/>
        <v>1455.1649591773264</v>
      </c>
      <c r="X111" s="15">
        <f t="shared" si="65"/>
        <v>0.90888257006240225</v>
      </c>
      <c r="Y111" s="15">
        <f t="shared" si="52"/>
        <v>0.90888257006240225</v>
      </c>
    </row>
    <row r="112" spans="1:25">
      <c r="A112" s="14">
        <f>'b（手動）計算用'!E115</f>
        <v>120</v>
      </c>
      <c r="B112" s="156">
        <f>'b（手動）計算用'!F115</f>
        <v>914.27422972484783</v>
      </c>
      <c r="C112" s="26">
        <f xml:space="preserve"> '樹高計算 '!N231</f>
        <v>33.335489779502211</v>
      </c>
      <c r="D112" s="26">
        <f>'b（手動）計算用'!G115</f>
        <v>33.335489779502211</v>
      </c>
      <c r="E112" s="26">
        <f t="shared" si="46"/>
        <v>30.236967932066996</v>
      </c>
      <c r="F112" s="26">
        <f t="shared" si="53"/>
        <v>14.752342028210883</v>
      </c>
      <c r="G112" s="26">
        <f t="shared" si="54"/>
        <v>89.838713558089609</v>
      </c>
      <c r="H112" s="26">
        <f t="shared" si="47"/>
        <v>35.371101313540962</v>
      </c>
      <c r="I112" s="26">
        <f t="shared" si="55"/>
        <v>34.553949826257373</v>
      </c>
      <c r="J112" s="27">
        <f t="shared" si="48"/>
        <v>0.66757078429892924</v>
      </c>
      <c r="K112" s="155">
        <f t="shared" si="56"/>
        <v>1597.8837895779498</v>
      </c>
      <c r="L112" s="27">
        <f t="shared" si="57"/>
        <v>1325.3314297834042</v>
      </c>
      <c r="M112" s="155">
        <f>'b（手動）計算用'!L115</f>
        <v>0</v>
      </c>
      <c r="N112" s="155">
        <f t="shared" si="58"/>
        <v>914.27422972484783</v>
      </c>
      <c r="O112" s="26">
        <f t="shared" si="49"/>
        <v>30.236967932066996</v>
      </c>
      <c r="P112" s="26">
        <f t="shared" si="59"/>
        <v>14.752342028210883</v>
      </c>
      <c r="Q112" s="26">
        <f t="shared" si="50"/>
        <v>89.838713558089609</v>
      </c>
      <c r="R112" s="26">
        <f t="shared" si="51"/>
        <v>35.371101313540962</v>
      </c>
      <c r="S112" s="26">
        <f t="shared" si="60"/>
        <v>34.553949826257373</v>
      </c>
      <c r="T112" s="27">
        <f t="shared" si="61"/>
        <v>1325.3314297834042</v>
      </c>
      <c r="U112" s="27">
        <f t="shared" si="62"/>
        <v>0</v>
      </c>
      <c r="V112" s="27">
        <f t="shared" si="63"/>
        <v>1268.5232367730571</v>
      </c>
      <c r="W112" s="27">
        <f t="shared" si="64"/>
        <v>1457.4373264188778</v>
      </c>
      <c r="X112" s="15">
        <f t="shared" si="65"/>
        <v>0.90935740821179889</v>
      </c>
      <c r="Y112" s="15">
        <f t="shared" si="52"/>
        <v>0.90935740821179889</v>
      </c>
    </row>
    <row r="113" spans="1:29">
      <c r="A113" s="173"/>
      <c r="B113" s="174"/>
      <c r="C113" s="174"/>
      <c r="D113" s="175"/>
      <c r="E113" s="175"/>
      <c r="F113" s="175"/>
      <c r="G113" s="175"/>
      <c r="H113" s="175"/>
      <c r="I113" s="175"/>
      <c r="J113" s="175"/>
      <c r="K113" s="211"/>
      <c r="L113" s="176"/>
      <c r="M113" s="177"/>
      <c r="N113" s="177"/>
      <c r="O113" s="175"/>
      <c r="P113" s="175"/>
      <c r="Q113" s="175"/>
      <c r="R113" s="175"/>
      <c r="S113" s="175"/>
      <c r="T113" s="176"/>
      <c r="U113" s="176"/>
      <c r="V113" s="176"/>
      <c r="W113" s="176"/>
      <c r="X113" s="178"/>
      <c r="Y113" s="4"/>
    </row>
    <row r="114" spans="1:29" s="31" customFormat="1">
      <c r="A114" s="179"/>
      <c r="B114" s="180"/>
      <c r="C114" s="180"/>
      <c r="D114" s="181"/>
      <c r="E114" s="181"/>
      <c r="F114" s="181"/>
      <c r="G114" s="181"/>
      <c r="H114" s="181"/>
      <c r="I114" s="181"/>
      <c r="J114" s="171"/>
      <c r="K114" s="32"/>
      <c r="L114" s="182"/>
      <c r="M114" s="183"/>
      <c r="N114" s="183"/>
      <c r="O114" s="181"/>
      <c r="P114" s="181"/>
      <c r="Q114" s="181"/>
      <c r="R114" s="181"/>
      <c r="S114" s="181"/>
      <c r="T114" s="182"/>
      <c r="U114" s="182"/>
      <c r="V114" s="182"/>
      <c r="W114" s="182"/>
      <c r="X114" s="184"/>
      <c r="Y114" s="4"/>
      <c r="Z114" s="28"/>
      <c r="AA114" s="145"/>
      <c r="AB114" s="145"/>
      <c r="AC114" s="28"/>
    </row>
    <row r="115" spans="1:29">
      <c r="A115" s="14">
        <f>入力!C17</f>
        <v>10</v>
      </c>
      <c r="B115" s="156">
        <f>入力!C18</f>
        <v>2400</v>
      </c>
      <c r="C115" s="156"/>
      <c r="D115" s="26">
        <f>入力!C19</f>
        <v>7</v>
      </c>
      <c r="E115" s="26">
        <f t="shared" ref="E115" si="66">SQRT(B115)</f>
        <v>48.989794855663561</v>
      </c>
      <c r="F115" s="26">
        <f>$AB$11+$AB$12*D115+$AB$13*E115*D115/100</f>
        <v>4.273765031445258</v>
      </c>
      <c r="G115" s="26">
        <f>L115/F115</f>
        <v>23.893224439954061</v>
      </c>
      <c r="H115" s="26">
        <f t="shared" ref="H115" si="67">200*SQRT(G115/(PI()*B115))</f>
        <v>11.2586629994015</v>
      </c>
      <c r="I115" s="26">
        <f>$AB$15+$AB$16*H115+$AB$17*E115*D115/100</f>
        <v>11.133365069221741</v>
      </c>
      <c r="J115" s="27">
        <f>($AB$2*D115^$AB$3*$AB$29+$AB$4*D115^$AB$5)^-1</f>
        <v>4.1849691076518175E-2</v>
      </c>
      <c r="K115" s="155">
        <f>1/(1/$AB$29-J115/($AB$26*$AB$29^$AB$27))</f>
        <v>2414.5430889460904</v>
      </c>
      <c r="L115" s="27">
        <f>($AB$2*D115^$AB$3+$AB$4*D115^$AB$5/B115)^-1</f>
        <v>102.11402709994887</v>
      </c>
      <c r="M115" s="155">
        <v>0</v>
      </c>
      <c r="N115" s="155">
        <f>B115-M115</f>
        <v>2400</v>
      </c>
      <c r="O115" s="26">
        <f t="shared" ref="O115" si="68">SQRT(N115)</f>
        <v>48.989794855663561</v>
      </c>
      <c r="P115" s="26">
        <f>$AB$11+$AB$12*D115+$AB$13*O115*D115/100</f>
        <v>4.273765031445258</v>
      </c>
      <c r="Q115" s="26">
        <f t="shared" ref="Q115" si="69">T115/P115</f>
        <v>23.893224439954061</v>
      </c>
      <c r="R115" s="26">
        <f t="shared" ref="R115" si="70">200*SQRT(Q115/(PI()*N115))</f>
        <v>11.2586629994015</v>
      </c>
      <c r="S115" s="26">
        <f>$AB$15+$AB$16*R115+$AB$17*O115*D115/100</f>
        <v>11.133365069221741</v>
      </c>
      <c r="T115" s="27">
        <f>($AB$2*D115^$AB$3+$AB$4*D115^$AB$5/N115)^-1</f>
        <v>102.11402709994887</v>
      </c>
      <c r="U115" s="27">
        <f>L115-T115</f>
        <v>0</v>
      </c>
      <c r="V115" s="27">
        <f>$AB$22*D115^$AB$21</f>
        <v>10385.764724549726</v>
      </c>
      <c r="W115" s="27">
        <f>($AB$2*D115^$AB$3+$AB$4*D115^$AB$5/V115)^-1</f>
        <v>189.52304004112708</v>
      </c>
      <c r="X115" s="15">
        <f>L115/W115</f>
        <v>0.53879479285362786</v>
      </c>
      <c r="Y115" s="15">
        <f t="shared" ref="Y115" si="71">T115/W115</f>
        <v>0.53879479285362786</v>
      </c>
    </row>
    <row r="116" spans="1:29">
      <c r="A116" s="169"/>
      <c r="B116" s="170"/>
      <c r="C116" s="170"/>
      <c r="D116" s="171"/>
      <c r="E116" s="171"/>
      <c r="F116" s="171"/>
      <c r="G116" s="171"/>
      <c r="H116" s="171"/>
      <c r="I116" s="171"/>
      <c r="J116" s="171"/>
      <c r="L116" s="154"/>
      <c r="M116" s="172"/>
      <c r="N116" s="172"/>
      <c r="O116" s="171"/>
      <c r="P116" s="171"/>
      <c r="Q116" s="171"/>
      <c r="R116" s="171"/>
      <c r="S116" s="171"/>
      <c r="T116" s="154"/>
      <c r="U116" s="154"/>
      <c r="V116" s="154"/>
      <c r="W116" s="154"/>
      <c r="X116" s="4"/>
      <c r="Y116" s="4"/>
    </row>
    <row r="118" spans="1:29">
      <c r="A118" s="14">
        <f>'a（自動）計算用'!D5</f>
        <v>10</v>
      </c>
      <c r="B118" s="156">
        <f>'a（自動）計算用'!F5</f>
        <v>2400</v>
      </c>
      <c r="C118" s="156"/>
      <c r="D118" s="26">
        <f>'a（自動）計算用'!G5</f>
        <v>7.005377668918638</v>
      </c>
      <c r="E118" s="26">
        <f t="shared" ref="E118" si="72">SQRT(B118)</f>
        <v>48.989794855663561</v>
      </c>
      <c r="F118" s="26">
        <f t="shared" ref="F118:F149" si="73">$AB$11+$AB$12*D118+$AB$13*E118*D118/100</f>
        <v>4.2762939400557727</v>
      </c>
      <c r="G118" s="26">
        <f t="shared" ref="G118:G149" si="74">L118/F118</f>
        <v>23.917909433140004</v>
      </c>
      <c r="H118" s="26">
        <f t="shared" ref="H118" si="75">200*SQRT(G118/(PI()*B118))</f>
        <v>11.264477373153335</v>
      </c>
      <c r="I118" s="26">
        <f t="shared" ref="I118:I149" si="76">$AB$15+$AB$16*H118+$AB$17*E118*D118/100</f>
        <v>11.138932082557449</v>
      </c>
      <c r="J118" s="27">
        <f>J2</f>
        <v>4.191729015254831E-2</v>
      </c>
      <c r="K118" s="155">
        <f t="shared" ref="K118" si="77">K2</f>
        <v>2414.4097777372367</v>
      </c>
      <c r="L118" s="27">
        <f t="shared" ref="L118:L149" si="78">($AB$2*D118^$AB$3+$AB$4*D118^$AB$5/B118)^-1</f>
        <v>102.2800111677394</v>
      </c>
      <c r="M118" s="155">
        <f>'a（自動）計算用'!L5</f>
        <v>0</v>
      </c>
      <c r="N118" s="155">
        <f t="shared" ref="N118:N149" si="79">B118-M118</f>
        <v>2400</v>
      </c>
      <c r="O118" s="26">
        <f t="shared" ref="O118" si="80">SQRT(N118)</f>
        <v>48.989794855663561</v>
      </c>
      <c r="P118" s="26">
        <f t="shared" ref="P118:P149" si="81">$AB$11+$AB$12*D118+$AB$13*O118*D118/100</f>
        <v>4.2762939400557727</v>
      </c>
      <c r="Q118" s="26">
        <f t="shared" ref="Q118" si="82">T118/P118</f>
        <v>23.917909433140004</v>
      </c>
      <c r="R118" s="26">
        <f t="shared" ref="R118" si="83">200*SQRT(Q118/(PI()*N118))</f>
        <v>11.264477373153335</v>
      </c>
      <c r="S118" s="26">
        <f t="shared" ref="S118:S149" si="84">$AB$15+$AB$16*R118+$AB$17*O118*D118/100</f>
        <v>11.138932082557449</v>
      </c>
      <c r="T118" s="27">
        <f t="shared" ref="T118:T149" si="85">($AB$2*D118^$AB$3+$AB$4*D118^$AB$5/N118)^-1</f>
        <v>102.2800111677394</v>
      </c>
      <c r="U118" s="27">
        <f t="shared" ref="U118:U149" si="86">L118-T118</f>
        <v>0</v>
      </c>
      <c r="V118" s="27">
        <f t="shared" ref="V118:V149" si="87">$AB$22*D118^$AB$21</f>
        <v>10375.025490969329</v>
      </c>
      <c r="W118" s="27">
        <f t="shared" ref="W118:W149" si="88">($AB$2*D118^$AB$3+$AB$4*D118^$AB$5/V118)^-1</f>
        <v>189.71336704352868</v>
      </c>
      <c r="X118" s="15">
        <f t="shared" ref="X118:X149" si="89">L118/W118</f>
        <v>0.53912917556448103</v>
      </c>
      <c r="Y118" s="15">
        <f t="shared" ref="Y118" si="90">T118/W118</f>
        <v>0.53912917556448103</v>
      </c>
    </row>
    <row r="119" spans="1:29">
      <c r="A119" s="14">
        <f>'a（自動）計算用'!D6</f>
        <v>11</v>
      </c>
      <c r="B119" s="156">
        <f>'a（自動）計算用'!F6</f>
        <v>2400</v>
      </c>
      <c r="C119" s="156"/>
      <c r="D119" s="26">
        <f>'a（自動）計算用'!G6</f>
        <v>7.6866187767008665</v>
      </c>
      <c r="E119" s="26">
        <f t="shared" ref="E119:E182" si="91">SQRT(B119)</f>
        <v>48.989794855663561</v>
      </c>
      <c r="F119" s="26">
        <f t="shared" si="73"/>
        <v>4.5966551466254817</v>
      </c>
      <c r="G119" s="26">
        <f t="shared" si="74"/>
        <v>27.024719617010089</v>
      </c>
      <c r="H119" s="26">
        <f t="shared" ref="H119:H182" si="92">200*SQRT(G119/(PI()*B119))</f>
        <v>11.973745881051132</v>
      </c>
      <c r="I119" s="26">
        <f t="shared" si="76"/>
        <v>11.817060145244328</v>
      </c>
      <c r="J119" s="27">
        <f t="shared" ref="J119:K119" si="93">J3</f>
        <v>5.084703263736453E-2</v>
      </c>
      <c r="K119" s="155">
        <f t="shared" si="93"/>
        <v>2396.9280289345602</v>
      </c>
      <c r="L119" s="27">
        <f t="shared" si="78"/>
        <v>124.22331651364004</v>
      </c>
      <c r="M119" s="155">
        <f>'a（自動）計算用'!L6</f>
        <v>0</v>
      </c>
      <c r="N119" s="155">
        <f t="shared" si="79"/>
        <v>2400</v>
      </c>
      <c r="O119" s="26">
        <f t="shared" ref="O119:O182" si="94">SQRT(N119)</f>
        <v>48.989794855663561</v>
      </c>
      <c r="P119" s="26">
        <f t="shared" si="81"/>
        <v>4.5966551466254817</v>
      </c>
      <c r="Q119" s="26">
        <f t="shared" ref="Q119:Q182" si="95">T119/P119</f>
        <v>27.024719617010089</v>
      </c>
      <c r="R119" s="26">
        <f t="shared" ref="R119:R182" si="96">200*SQRT(Q119/(PI()*N119))</f>
        <v>11.973745881051132</v>
      </c>
      <c r="S119" s="26">
        <f t="shared" si="84"/>
        <v>11.817060145244328</v>
      </c>
      <c r="T119" s="27">
        <f t="shared" si="85"/>
        <v>124.22331651364004</v>
      </c>
      <c r="U119" s="27">
        <f t="shared" si="86"/>
        <v>0</v>
      </c>
      <c r="V119" s="27">
        <f t="shared" si="87"/>
        <v>9155.7124342477746</v>
      </c>
      <c r="W119" s="27">
        <f t="shared" si="88"/>
        <v>214.17899343917091</v>
      </c>
      <c r="X119" s="15">
        <f t="shared" si="89"/>
        <v>0.57999766699305544</v>
      </c>
      <c r="Y119" s="15">
        <f t="shared" ref="Y119:Y182" si="97">T119/W119</f>
        <v>0.57999766699305544</v>
      </c>
    </row>
    <row r="120" spans="1:29">
      <c r="A120" s="14">
        <f>'a（自動）計算用'!D7</f>
        <v>12</v>
      </c>
      <c r="B120" s="156">
        <f>'a（自動）計算用'!F7</f>
        <v>2378.6995149385252</v>
      </c>
      <c r="C120" s="156"/>
      <c r="D120" s="26">
        <f>'a（自動）計算用'!G7</f>
        <v>8.3560214438217386</v>
      </c>
      <c r="E120" s="26">
        <f t="shared" si="91"/>
        <v>48.771913176935406</v>
      </c>
      <c r="F120" s="26">
        <f t="shared" si="73"/>
        <v>4.905898274467198</v>
      </c>
      <c r="G120" s="26">
        <f t="shared" si="74"/>
        <v>29.916776234618826</v>
      </c>
      <c r="H120" s="26">
        <f t="shared" si="92"/>
        <v>12.654432216783126</v>
      </c>
      <c r="I120" s="26">
        <f t="shared" si="76"/>
        <v>12.468685617754097</v>
      </c>
      <c r="J120" s="27">
        <f t="shared" ref="J120:K120" si="98">J4</f>
        <v>6.0298009994016445E-2</v>
      </c>
      <c r="K120" s="155">
        <f t="shared" si="98"/>
        <v>2378.6995149385252</v>
      </c>
      <c r="L120" s="27">
        <f t="shared" si="78"/>
        <v>146.76866090703777</v>
      </c>
      <c r="M120" s="155">
        <f>'a（自動）計算用'!L7</f>
        <v>0</v>
      </c>
      <c r="N120" s="155">
        <f t="shared" si="79"/>
        <v>2378.6995149385252</v>
      </c>
      <c r="O120" s="26">
        <f t="shared" si="94"/>
        <v>48.771913176935406</v>
      </c>
      <c r="P120" s="26">
        <f t="shared" si="81"/>
        <v>4.905898274467198</v>
      </c>
      <c r="Q120" s="26">
        <f t="shared" si="95"/>
        <v>29.916776234618826</v>
      </c>
      <c r="R120" s="26">
        <f t="shared" si="96"/>
        <v>12.654432216783126</v>
      </c>
      <c r="S120" s="26">
        <f t="shared" si="84"/>
        <v>12.468685617754097</v>
      </c>
      <c r="T120" s="27">
        <f t="shared" si="85"/>
        <v>146.76866090703777</v>
      </c>
      <c r="U120" s="27">
        <f t="shared" si="86"/>
        <v>0</v>
      </c>
      <c r="V120" s="27">
        <f t="shared" si="87"/>
        <v>8181.5807476950058</v>
      </c>
      <c r="W120" s="27">
        <f t="shared" si="88"/>
        <v>238.87785292215841</v>
      </c>
      <c r="X120" s="15">
        <f t="shared" si="89"/>
        <v>0.61440882489371806</v>
      </c>
      <c r="Y120" s="15">
        <f t="shared" si="97"/>
        <v>0.61440882489371806</v>
      </c>
    </row>
    <row r="121" spans="1:29">
      <c r="A121" s="14">
        <f>'a（自動）計算用'!D8</f>
        <v>13</v>
      </c>
      <c r="B121" s="156">
        <f>'a（自動）計算用'!F8</f>
        <v>2359.9216915640836</v>
      </c>
      <c r="C121" s="156"/>
      <c r="D121" s="26">
        <f>'a（自動）計算用'!G8</f>
        <v>9.0132564321920068</v>
      </c>
      <c r="E121" s="26">
        <f t="shared" si="91"/>
        <v>48.579025222456693</v>
      </c>
      <c r="F121" s="26">
        <f t="shared" si="73"/>
        <v>5.2092330541938843</v>
      </c>
      <c r="G121" s="26">
        <f t="shared" si="74"/>
        <v>32.701823830178071</v>
      </c>
      <c r="H121" s="26">
        <f t="shared" si="92"/>
        <v>13.282880041692236</v>
      </c>
      <c r="I121" s="26">
        <f t="shared" si="76"/>
        <v>13.068959350969083</v>
      </c>
      <c r="J121" s="27">
        <f t="shared" ref="J121:K121" si="99">J5</f>
        <v>7.0186457403033586E-2</v>
      </c>
      <c r="K121" s="155">
        <f t="shared" si="99"/>
        <v>2359.9216915640836</v>
      </c>
      <c r="L121" s="27">
        <f t="shared" si="78"/>
        <v>170.35142162858887</v>
      </c>
      <c r="M121" s="155">
        <f>'a（自動）計算用'!L8</f>
        <v>0</v>
      </c>
      <c r="N121" s="155">
        <f t="shared" si="79"/>
        <v>2359.9216915640836</v>
      </c>
      <c r="O121" s="26">
        <f t="shared" si="94"/>
        <v>48.579025222456693</v>
      </c>
      <c r="P121" s="26">
        <f t="shared" si="81"/>
        <v>5.2092330541938843</v>
      </c>
      <c r="Q121" s="26">
        <f t="shared" si="95"/>
        <v>32.701823830178071</v>
      </c>
      <c r="R121" s="26">
        <f t="shared" si="96"/>
        <v>13.282880041692236</v>
      </c>
      <c r="S121" s="26">
        <f t="shared" si="84"/>
        <v>13.068959350969083</v>
      </c>
      <c r="T121" s="27">
        <f t="shared" si="85"/>
        <v>170.35142162858887</v>
      </c>
      <c r="U121" s="27">
        <f t="shared" si="86"/>
        <v>0</v>
      </c>
      <c r="V121" s="27">
        <f t="shared" si="87"/>
        <v>7388.1982167880496</v>
      </c>
      <c r="W121" s="27">
        <f t="shared" si="88"/>
        <v>263.72690568919796</v>
      </c>
      <c r="X121" s="15">
        <f t="shared" si="89"/>
        <v>0.64593872659071028</v>
      </c>
      <c r="Y121" s="15">
        <f t="shared" si="97"/>
        <v>0.64593872659071028</v>
      </c>
    </row>
    <row r="122" spans="1:29">
      <c r="A122" s="14">
        <f>'a（自動）計算用'!D9</f>
        <v>14</v>
      </c>
      <c r="B122" s="156">
        <f>'a（自動）計算用'!F9</f>
        <v>2340.7662406907311</v>
      </c>
      <c r="C122" s="156"/>
      <c r="D122" s="26">
        <f>'a（自動）計算用'!G9</f>
        <v>9.6580943635452208</v>
      </c>
      <c r="E122" s="26">
        <f t="shared" si="91"/>
        <v>48.381465879928967</v>
      </c>
      <c r="F122" s="26">
        <f t="shared" si="73"/>
        <v>5.5058502025212741</v>
      </c>
      <c r="G122" s="26">
        <f t="shared" si="74"/>
        <v>35.362680279672055</v>
      </c>
      <c r="H122" s="26">
        <f t="shared" si="92"/>
        <v>13.869110997672966</v>
      </c>
      <c r="I122" s="26">
        <f t="shared" si="76"/>
        <v>13.628019851557575</v>
      </c>
      <c r="J122" s="27">
        <f t="shared" ref="J122:K122" si="100">J6</f>
        <v>8.0437234167163696E-2</v>
      </c>
      <c r="K122" s="155">
        <f t="shared" si="100"/>
        <v>2340.7662406907311</v>
      </c>
      <c r="L122" s="27">
        <f t="shared" si="78"/>
        <v>194.70162037952747</v>
      </c>
      <c r="M122" s="155">
        <f>'a（自動）計算用'!L9</f>
        <v>0</v>
      </c>
      <c r="N122" s="155">
        <f t="shared" si="79"/>
        <v>2340.7662406907311</v>
      </c>
      <c r="O122" s="26">
        <f t="shared" si="94"/>
        <v>48.381465879928967</v>
      </c>
      <c r="P122" s="26">
        <f t="shared" si="81"/>
        <v>5.5058502025212741</v>
      </c>
      <c r="Q122" s="26">
        <f t="shared" si="95"/>
        <v>35.362680279672055</v>
      </c>
      <c r="R122" s="26">
        <f t="shared" si="96"/>
        <v>13.869110997672966</v>
      </c>
      <c r="S122" s="26">
        <f t="shared" si="84"/>
        <v>13.628019851557575</v>
      </c>
      <c r="T122" s="27">
        <f t="shared" si="85"/>
        <v>194.70162037952747</v>
      </c>
      <c r="U122" s="27">
        <f t="shared" si="86"/>
        <v>0</v>
      </c>
      <c r="V122" s="27">
        <f t="shared" si="87"/>
        <v>6731.4654805546206</v>
      </c>
      <c r="W122" s="27">
        <f t="shared" si="88"/>
        <v>288.6546421581757</v>
      </c>
      <c r="X122" s="15">
        <f t="shared" si="89"/>
        <v>0.67451407995314949</v>
      </c>
      <c r="Y122" s="15">
        <f t="shared" si="97"/>
        <v>0.67451407995314949</v>
      </c>
    </row>
    <row r="123" spans="1:29">
      <c r="A123" s="14">
        <f>'a（自動）計算用'!D10</f>
        <v>15</v>
      </c>
      <c r="B123" s="156">
        <f>'a（自動）計算用'!F10</f>
        <v>2321.3807070057342</v>
      </c>
      <c r="C123" s="156"/>
      <c r="D123" s="26">
        <f>'a（自動）計算用'!G10</f>
        <v>10.290382189294702</v>
      </c>
      <c r="E123" s="26">
        <f t="shared" si="91"/>
        <v>48.180708867821096</v>
      </c>
      <c r="F123" s="26">
        <f t="shared" si="73"/>
        <v>5.7957192111674303</v>
      </c>
      <c r="G123" s="26">
        <f t="shared" si="74"/>
        <v>37.900725801422617</v>
      </c>
      <c r="H123" s="26">
        <f t="shared" si="92"/>
        <v>14.418020456639336</v>
      </c>
      <c r="I123" s="26">
        <f t="shared" si="76"/>
        <v>14.15072273584609</v>
      </c>
      <c r="J123" s="27">
        <f t="shared" ref="J123:K123" si="101">J7</f>
        <v>9.0983370474742517E-2</v>
      </c>
      <c r="K123" s="155">
        <f t="shared" si="101"/>
        <v>2321.3807070057342</v>
      </c>
      <c r="L123" s="27">
        <f t="shared" si="78"/>
        <v>219.66196464449416</v>
      </c>
      <c r="M123" s="155">
        <f>'a（自動）計算用'!L10</f>
        <v>0</v>
      </c>
      <c r="N123" s="155">
        <f t="shared" si="79"/>
        <v>2321.3807070057342</v>
      </c>
      <c r="O123" s="26">
        <f t="shared" si="94"/>
        <v>48.180708867821096</v>
      </c>
      <c r="P123" s="26">
        <f t="shared" si="81"/>
        <v>5.7957192111674303</v>
      </c>
      <c r="Q123" s="26">
        <f t="shared" si="95"/>
        <v>37.900725801422617</v>
      </c>
      <c r="R123" s="26">
        <f t="shared" si="96"/>
        <v>14.418020456639336</v>
      </c>
      <c r="S123" s="26">
        <f t="shared" si="84"/>
        <v>14.15072273584609</v>
      </c>
      <c r="T123" s="27">
        <f t="shared" si="85"/>
        <v>219.66196464449416</v>
      </c>
      <c r="U123" s="27">
        <f t="shared" si="86"/>
        <v>0</v>
      </c>
      <c r="V123" s="27">
        <f t="shared" si="87"/>
        <v>6180.2752037025102</v>
      </c>
      <c r="W123" s="27">
        <f t="shared" si="88"/>
        <v>313.59901968504505</v>
      </c>
      <c r="X123" s="15">
        <f t="shared" si="89"/>
        <v>0.70045488300666847</v>
      </c>
      <c r="Y123" s="15">
        <f t="shared" si="97"/>
        <v>0.70045488300666847</v>
      </c>
    </row>
    <row r="124" spans="1:29">
      <c r="A124" s="14">
        <f>'a（自動）計算用'!D11</f>
        <v>16</v>
      </c>
      <c r="B124" s="156">
        <f>'a（自動）計算用'!F11</f>
        <v>2301.8907004546645</v>
      </c>
      <c r="C124" s="156"/>
      <c r="D124" s="26">
        <f>'a（自動）計算用'!G11</f>
        <v>10.910026199109787</v>
      </c>
      <c r="E124" s="26">
        <f t="shared" si="91"/>
        <v>47.978023098650745</v>
      </c>
      <c r="F124" s="26">
        <f t="shared" si="73"/>
        <v>6.0788430620631564</v>
      </c>
      <c r="G124" s="26">
        <f t="shared" si="74"/>
        <v>40.319337456968768</v>
      </c>
      <c r="H124" s="26">
        <f t="shared" si="92"/>
        <v>14.933768118808958</v>
      </c>
      <c r="I124" s="26">
        <f t="shared" si="76"/>
        <v>14.641189504521389</v>
      </c>
      <c r="J124" s="27">
        <f t="shared" ref="J124:K124" si="102">J8</f>
        <v>0.1017654107699532</v>
      </c>
      <c r="K124" s="155">
        <f t="shared" si="102"/>
        <v>2301.8907004546645</v>
      </c>
      <c r="L124" s="27">
        <f t="shared" si="78"/>
        <v>245.09492476727775</v>
      </c>
      <c r="M124" s="155">
        <f>'a（自動）計算用'!L11</f>
        <v>0</v>
      </c>
      <c r="N124" s="155">
        <f t="shared" si="79"/>
        <v>2301.8907004546645</v>
      </c>
      <c r="O124" s="26">
        <f t="shared" si="94"/>
        <v>47.978023098650745</v>
      </c>
      <c r="P124" s="26">
        <f t="shared" si="81"/>
        <v>6.0788430620631564</v>
      </c>
      <c r="Q124" s="26">
        <f t="shared" si="95"/>
        <v>40.319337456968768</v>
      </c>
      <c r="R124" s="26">
        <f t="shared" si="96"/>
        <v>14.933768118808958</v>
      </c>
      <c r="S124" s="26">
        <f t="shared" si="84"/>
        <v>14.641189504521389</v>
      </c>
      <c r="T124" s="27">
        <f t="shared" si="85"/>
        <v>245.09492476727775</v>
      </c>
      <c r="U124" s="27">
        <f t="shared" si="86"/>
        <v>0</v>
      </c>
      <c r="V124" s="27">
        <f t="shared" si="87"/>
        <v>5712.1128292835456</v>
      </c>
      <c r="W124" s="27">
        <f t="shared" si="88"/>
        <v>338.50588381943311</v>
      </c>
      <c r="X124" s="15">
        <f t="shared" si="89"/>
        <v>0.72404923070116278</v>
      </c>
      <c r="Y124" s="15">
        <f t="shared" si="97"/>
        <v>0.72404923070116278</v>
      </c>
    </row>
    <row r="125" spans="1:29">
      <c r="A125" s="14">
        <f>'a（自動）計算用'!D12</f>
        <v>17</v>
      </c>
      <c r="B125" s="156">
        <f>'a（自動）計算用'!F12</f>
        <v>2282.402289098367</v>
      </c>
      <c r="C125" s="156"/>
      <c r="D125" s="26">
        <f>'a（自動）計算用'!G12</f>
        <v>11.516979531457144</v>
      </c>
      <c r="E125" s="26">
        <f t="shared" si="91"/>
        <v>47.774494127079642</v>
      </c>
      <c r="F125" s="26">
        <f t="shared" si="73"/>
        <v>6.3552505191544926</v>
      </c>
      <c r="G125" s="26">
        <f t="shared" si="74"/>
        <v>42.623082818629989</v>
      </c>
      <c r="H125" s="26">
        <f t="shared" si="92"/>
        <v>15.419894102533082</v>
      </c>
      <c r="I125" s="26">
        <f t="shared" si="76"/>
        <v>15.102923750828976</v>
      </c>
      <c r="J125" s="27">
        <f t="shared" ref="J125:K125" si="103">J9</f>
        <v>0.11273068708485921</v>
      </c>
      <c r="K125" s="155">
        <f t="shared" si="103"/>
        <v>2282.402289098367</v>
      </c>
      <c r="L125" s="27">
        <f t="shared" si="78"/>
        <v>270.88036921106317</v>
      </c>
      <c r="M125" s="155">
        <f>'a（自動）計算用'!L12</f>
        <v>0</v>
      </c>
      <c r="N125" s="155">
        <f t="shared" si="79"/>
        <v>2282.402289098367</v>
      </c>
      <c r="O125" s="26">
        <f t="shared" si="94"/>
        <v>47.774494127079642</v>
      </c>
      <c r="P125" s="26">
        <f t="shared" si="81"/>
        <v>6.3552505191544926</v>
      </c>
      <c r="Q125" s="26">
        <f t="shared" si="95"/>
        <v>42.623082818629989</v>
      </c>
      <c r="R125" s="26">
        <f t="shared" si="96"/>
        <v>15.419894102533082</v>
      </c>
      <c r="S125" s="26">
        <f t="shared" si="84"/>
        <v>15.102923750828976</v>
      </c>
      <c r="T125" s="27">
        <f t="shared" si="85"/>
        <v>270.88036921106317</v>
      </c>
      <c r="U125" s="27">
        <f t="shared" si="86"/>
        <v>0</v>
      </c>
      <c r="V125" s="27">
        <f t="shared" si="87"/>
        <v>5310.3172628253606</v>
      </c>
      <c r="W125" s="27">
        <f t="shared" si="88"/>
        <v>363.3277384563458</v>
      </c>
      <c r="X125" s="15">
        <f t="shared" si="89"/>
        <v>0.74555378117272408</v>
      </c>
      <c r="Y125" s="15">
        <f t="shared" si="97"/>
        <v>0.74555378117272408</v>
      </c>
    </row>
    <row r="126" spans="1:29">
      <c r="A126" s="14">
        <f>'a（自動）計算用'!D13</f>
        <v>18</v>
      </c>
      <c r="B126" s="156">
        <f>'a（自動）計算用'!F13</f>
        <v>2263.0043655536742</v>
      </c>
      <c r="C126" s="156"/>
      <c r="D126" s="26">
        <f>'a（自動）計算用'!G13</f>
        <v>12.111232869455735</v>
      </c>
      <c r="E126" s="26">
        <f t="shared" si="91"/>
        <v>47.571045453654627</v>
      </c>
      <c r="F126" s="26">
        <f t="shared" si="73"/>
        <v>6.6249902867762094</v>
      </c>
      <c r="G126" s="26">
        <f t="shared" si="74"/>
        <v>44.817176565885553</v>
      </c>
      <c r="H126" s="26">
        <f t="shared" si="92"/>
        <v>15.879419059129921</v>
      </c>
      <c r="I126" s="26">
        <f t="shared" si="76"/>
        <v>15.538911291599399</v>
      </c>
      <c r="J126" s="27">
        <f t="shared" ref="J126:K126" si="104">J10</f>
        <v>0.12383259681756888</v>
      </c>
      <c r="K126" s="155">
        <f t="shared" si="104"/>
        <v>2263.0043655536742</v>
      </c>
      <c r="L126" s="27">
        <f t="shared" si="78"/>
        <v>296.91335942972614</v>
      </c>
      <c r="M126" s="155">
        <f>'a（自動）計算用'!L13</f>
        <v>660</v>
      </c>
      <c r="N126" s="155">
        <f t="shared" si="79"/>
        <v>1603.0043655536742</v>
      </c>
      <c r="O126" s="26">
        <f t="shared" si="94"/>
        <v>40.03753695663201</v>
      </c>
      <c r="P126" s="26">
        <f t="shared" si="81"/>
        <v>6.3468074222019197</v>
      </c>
      <c r="Q126" s="26">
        <f t="shared" si="95"/>
        <v>39.721974505614277</v>
      </c>
      <c r="R126" s="26">
        <f t="shared" si="96"/>
        <v>17.762460327374022</v>
      </c>
      <c r="S126" s="26">
        <f t="shared" si="84"/>
        <v>17.479768967166329</v>
      </c>
      <c r="T126" s="27">
        <f t="shared" si="85"/>
        <v>252.10772261674811</v>
      </c>
      <c r="U126" s="27">
        <f t="shared" si="86"/>
        <v>44.805636812978037</v>
      </c>
      <c r="V126" s="27">
        <f t="shared" si="87"/>
        <v>4962.3180966626378</v>
      </c>
      <c r="W126" s="27">
        <f t="shared" si="88"/>
        <v>388.02277354538859</v>
      </c>
      <c r="X126" s="15">
        <f t="shared" si="89"/>
        <v>0.76519570415109928</v>
      </c>
      <c r="Y126" s="15">
        <f t="shared" si="97"/>
        <v>0.64972403633225939</v>
      </c>
    </row>
    <row r="127" spans="1:29">
      <c r="A127" s="14">
        <f>'a（自動）計算用'!D14</f>
        <v>19</v>
      </c>
      <c r="B127" s="156">
        <f>'a（自動）計算用'!F14</f>
        <v>1603.0043655536742</v>
      </c>
      <c r="C127" s="156"/>
      <c r="D127" s="26">
        <f>'a（自動）計算用'!G14</f>
        <v>12.692807439777415</v>
      </c>
      <c r="E127" s="26">
        <f t="shared" si="91"/>
        <v>40.03753695663201</v>
      </c>
      <c r="F127" s="26">
        <f t="shared" si="73"/>
        <v>6.6044254644204754</v>
      </c>
      <c r="G127" s="26">
        <f t="shared" si="74"/>
        <v>41.913794304209993</v>
      </c>
      <c r="H127" s="26">
        <f t="shared" si="92"/>
        <v>18.245938035298838</v>
      </c>
      <c r="I127" s="26">
        <f t="shared" si="76"/>
        <v>17.941601417194548</v>
      </c>
      <c r="J127" s="27">
        <f t="shared" ref="J127:K127" si="105">J11</f>
        <v>0.13502992388089977</v>
      </c>
      <c r="K127" s="155">
        <f t="shared" si="105"/>
        <v>2243.7708697822568</v>
      </c>
      <c r="L127" s="27">
        <f t="shared" si="78"/>
        <v>276.81653041320635</v>
      </c>
      <c r="M127" s="155">
        <f>'a（自動）計算用'!L14</f>
        <v>0</v>
      </c>
      <c r="N127" s="155">
        <f t="shared" si="79"/>
        <v>1603.0043655536742</v>
      </c>
      <c r="O127" s="26">
        <f t="shared" si="94"/>
        <v>40.03753695663201</v>
      </c>
      <c r="P127" s="26">
        <f t="shared" si="81"/>
        <v>6.6044254644204754</v>
      </c>
      <c r="Q127" s="26">
        <f t="shared" si="95"/>
        <v>41.913794304209993</v>
      </c>
      <c r="R127" s="26">
        <f t="shared" si="96"/>
        <v>18.245938035298838</v>
      </c>
      <c r="S127" s="26">
        <f t="shared" si="84"/>
        <v>17.941601417194548</v>
      </c>
      <c r="T127" s="27">
        <f t="shared" si="85"/>
        <v>276.81653041320635</v>
      </c>
      <c r="U127" s="27">
        <f t="shared" si="86"/>
        <v>0</v>
      </c>
      <c r="V127" s="27">
        <f t="shared" si="87"/>
        <v>4658.4683437813201</v>
      </c>
      <c r="W127" s="27">
        <f t="shared" si="88"/>
        <v>412.55408688025062</v>
      </c>
      <c r="X127" s="15">
        <f t="shared" si="89"/>
        <v>0.67098239774208335</v>
      </c>
      <c r="Y127" s="15">
        <f t="shared" si="97"/>
        <v>0.67098239774208335</v>
      </c>
    </row>
    <row r="128" spans="1:29">
      <c r="A128" s="14">
        <f>'a（自動）計算用'!D15</f>
        <v>20</v>
      </c>
      <c r="B128" s="156">
        <f>'a（自動）計算用'!F15</f>
        <v>1603.0043655536742</v>
      </c>
      <c r="C128" s="156"/>
      <c r="D128" s="26">
        <f>'a（自動）計算用'!G15</f>
        <v>13.261749704127018</v>
      </c>
      <c r="E128" s="26">
        <f t="shared" si="91"/>
        <v>40.03753695663201</v>
      </c>
      <c r="F128" s="26">
        <f t="shared" si="73"/>
        <v>6.8564478184860373</v>
      </c>
      <c r="G128" s="26">
        <f t="shared" si="74"/>
        <v>44.021310093802576</v>
      </c>
      <c r="H128" s="26">
        <f t="shared" si="92"/>
        <v>18.699034735978788</v>
      </c>
      <c r="I128" s="26">
        <f t="shared" si="76"/>
        <v>18.373665098837925</v>
      </c>
      <c r="J128" s="27">
        <f t="shared" ref="J128:K128" si="106">J12</f>
        <v>0.1462862210719601</v>
      </c>
      <c r="K128" s="155">
        <f t="shared" si="106"/>
        <v>2224.7628122291453</v>
      </c>
      <c r="L128" s="27">
        <f t="shared" si="78"/>
        <v>301.82981555955007</v>
      </c>
      <c r="M128" s="155">
        <f>'a（自動）計算用'!L15</f>
        <v>0</v>
      </c>
      <c r="N128" s="155">
        <f t="shared" si="79"/>
        <v>1603.0043655536742</v>
      </c>
      <c r="O128" s="26">
        <f t="shared" si="94"/>
        <v>40.03753695663201</v>
      </c>
      <c r="P128" s="26">
        <f t="shared" si="81"/>
        <v>6.8564478184860373</v>
      </c>
      <c r="Q128" s="26">
        <f t="shared" si="95"/>
        <v>44.021310093802576</v>
      </c>
      <c r="R128" s="26">
        <f t="shared" si="96"/>
        <v>18.699034735978788</v>
      </c>
      <c r="S128" s="26">
        <f t="shared" si="84"/>
        <v>18.373665098837925</v>
      </c>
      <c r="T128" s="27">
        <f t="shared" si="85"/>
        <v>301.82981555955007</v>
      </c>
      <c r="U128" s="27">
        <f t="shared" si="86"/>
        <v>0</v>
      </c>
      <c r="V128" s="27">
        <f t="shared" si="87"/>
        <v>4391.2518708833832</v>
      </c>
      <c r="W128" s="27">
        <f t="shared" si="88"/>
        <v>436.88905459222531</v>
      </c>
      <c r="X128" s="15">
        <f t="shared" si="89"/>
        <v>0.69086147246528273</v>
      </c>
      <c r="Y128" s="15">
        <f t="shared" si="97"/>
        <v>0.69086147246528273</v>
      </c>
    </row>
    <row r="129" spans="1:25">
      <c r="A129" s="14">
        <f>'a（自動）計算用'!D16</f>
        <v>21</v>
      </c>
      <c r="B129" s="156">
        <f>'a（自動）計算用'!F16</f>
        <v>1603.0043655536742</v>
      </c>
      <c r="C129" s="156"/>
      <c r="D129" s="26">
        <f>'a（自動）計算用'!G16</f>
        <v>13.818127308626075</v>
      </c>
      <c r="E129" s="26">
        <f t="shared" si="91"/>
        <v>40.03753695663201</v>
      </c>
      <c r="F129" s="26">
        <f t="shared" si="73"/>
        <v>7.1029044493631703</v>
      </c>
      <c r="G129" s="26">
        <f t="shared" si="74"/>
        <v>46.04637351309249</v>
      </c>
      <c r="H129" s="26">
        <f t="shared" si="92"/>
        <v>19.124294495380244</v>
      </c>
      <c r="I129" s="26">
        <f t="shared" si="76"/>
        <v>18.778483779039526</v>
      </c>
      <c r="J129" s="27">
        <f t="shared" ref="J129:K129" si="107">J13</f>
        <v>0.15756925933908131</v>
      </c>
      <c r="K129" s="155">
        <f t="shared" si="107"/>
        <v>2206.0300779597787</v>
      </c>
      <c r="L129" s="27">
        <f t="shared" si="78"/>
        <v>327.06299130318308</v>
      </c>
      <c r="M129" s="155">
        <f>'a（自動）計算用'!L16</f>
        <v>0</v>
      </c>
      <c r="N129" s="155">
        <f t="shared" si="79"/>
        <v>1603.0043655536742</v>
      </c>
      <c r="O129" s="26">
        <f t="shared" si="94"/>
        <v>40.03753695663201</v>
      </c>
      <c r="P129" s="26">
        <f t="shared" si="81"/>
        <v>7.1029044493631703</v>
      </c>
      <c r="Q129" s="26">
        <f t="shared" si="95"/>
        <v>46.04637351309249</v>
      </c>
      <c r="R129" s="26">
        <f t="shared" si="96"/>
        <v>19.124294495380244</v>
      </c>
      <c r="S129" s="26">
        <f t="shared" si="84"/>
        <v>18.778483779039526</v>
      </c>
      <c r="T129" s="27">
        <f t="shared" si="85"/>
        <v>327.06299130318308</v>
      </c>
      <c r="U129" s="27">
        <f t="shared" si="86"/>
        <v>0</v>
      </c>
      <c r="V129" s="27">
        <f t="shared" si="87"/>
        <v>4154.7331778594171</v>
      </c>
      <c r="W129" s="27">
        <f t="shared" si="88"/>
        <v>460.99881708020934</v>
      </c>
      <c r="X129" s="15">
        <f t="shared" si="89"/>
        <v>0.70946600985806274</v>
      </c>
      <c r="Y129" s="15">
        <f t="shared" si="97"/>
        <v>0.70946600985806274</v>
      </c>
    </row>
    <row r="130" spans="1:25">
      <c r="A130" s="14">
        <f>'a（自動）計算用'!D17</f>
        <v>22</v>
      </c>
      <c r="B130" s="156">
        <f>'a（自動）計算用'!F17</f>
        <v>1603.0043655536742</v>
      </c>
      <c r="C130" s="156"/>
      <c r="D130" s="26">
        <f>'a（自動）計算用'!G17</f>
        <v>14.362025973710765</v>
      </c>
      <c r="E130" s="26">
        <f t="shared" si="91"/>
        <v>40.03753695663201</v>
      </c>
      <c r="F130" s="26">
        <f t="shared" si="73"/>
        <v>7.3438333283320398</v>
      </c>
      <c r="G130" s="26">
        <f t="shared" si="74"/>
        <v>47.991248659037353</v>
      </c>
      <c r="H130" s="26">
        <f t="shared" si="92"/>
        <v>19.52399697288752</v>
      </c>
      <c r="I130" s="26">
        <f t="shared" si="76"/>
        <v>19.158318142658388</v>
      </c>
      <c r="J130" s="27">
        <f t="shared" ref="J130:K130" si="108">J14</f>
        <v>0.16885054285936058</v>
      </c>
      <c r="K130" s="155">
        <f t="shared" si="108"/>
        <v>2187.6130135408257</v>
      </c>
      <c r="L130" s="27">
        <f t="shared" si="78"/>
        <v>352.43973137050881</v>
      </c>
      <c r="M130" s="155">
        <f>'a（自動）計算用'!L17</f>
        <v>0</v>
      </c>
      <c r="N130" s="155">
        <f t="shared" si="79"/>
        <v>1603.0043655536742</v>
      </c>
      <c r="O130" s="26">
        <f t="shared" si="94"/>
        <v>40.03753695663201</v>
      </c>
      <c r="P130" s="26">
        <f t="shared" si="81"/>
        <v>7.3438333283320398</v>
      </c>
      <c r="Q130" s="26">
        <f t="shared" si="95"/>
        <v>47.991248659037353</v>
      </c>
      <c r="R130" s="26">
        <f t="shared" si="96"/>
        <v>19.52399697288752</v>
      </c>
      <c r="S130" s="26">
        <f t="shared" si="84"/>
        <v>19.158318142658388</v>
      </c>
      <c r="T130" s="27">
        <f t="shared" si="85"/>
        <v>352.43973137050881</v>
      </c>
      <c r="U130" s="27">
        <f t="shared" si="86"/>
        <v>0</v>
      </c>
      <c r="V130" s="27">
        <f t="shared" si="87"/>
        <v>3944.1677958941427</v>
      </c>
      <c r="W130" s="27">
        <f t="shared" si="88"/>
        <v>484.85785543257117</v>
      </c>
      <c r="X130" s="15">
        <f t="shared" si="89"/>
        <v>0.72689289741645191</v>
      </c>
      <c r="Y130" s="15">
        <f t="shared" si="97"/>
        <v>0.72689289741645191</v>
      </c>
    </row>
    <row r="131" spans="1:25">
      <c r="A131" s="14">
        <f>'a（自動）計算用'!D18</f>
        <v>23</v>
      </c>
      <c r="B131" s="156">
        <f>'a（自動）計算用'!F18</f>
        <v>1603.0043655536742</v>
      </c>
      <c r="C131" s="156"/>
      <c r="D131" s="26">
        <f>'a（自動）計算用'!G18</f>
        <v>14.893547087821741</v>
      </c>
      <c r="E131" s="26">
        <f t="shared" si="91"/>
        <v>40.03753695663201</v>
      </c>
      <c r="F131" s="26">
        <f t="shared" si="73"/>
        <v>7.5792793670736547</v>
      </c>
      <c r="G131" s="26">
        <f t="shared" si="74"/>
        <v>49.858472455325852</v>
      </c>
      <c r="H131" s="26">
        <f t="shared" si="92"/>
        <v>19.900188541106104</v>
      </c>
      <c r="I131" s="26">
        <f t="shared" si="76"/>
        <v>19.515196765110471</v>
      </c>
      <c r="J131" s="27">
        <f t="shared" ref="J131:K131" si="109">J15</f>
        <v>0.18010488532852523</v>
      </c>
      <c r="K131" s="155">
        <f t="shared" si="109"/>
        <v>2169.5438098124546</v>
      </c>
      <c r="L131" s="27">
        <f t="shared" si="78"/>
        <v>377.89129155446136</v>
      </c>
      <c r="M131" s="155">
        <f>'a（自動）計算用'!L18</f>
        <v>0</v>
      </c>
      <c r="N131" s="155">
        <f t="shared" si="79"/>
        <v>1603.0043655536742</v>
      </c>
      <c r="O131" s="26">
        <f t="shared" si="94"/>
        <v>40.03753695663201</v>
      </c>
      <c r="P131" s="26">
        <f t="shared" si="81"/>
        <v>7.5792793670736547</v>
      </c>
      <c r="Q131" s="26">
        <f t="shared" si="95"/>
        <v>49.858472455325852</v>
      </c>
      <c r="R131" s="26">
        <f t="shared" si="96"/>
        <v>19.900188541106104</v>
      </c>
      <c r="S131" s="26">
        <f t="shared" si="84"/>
        <v>19.515196765110471</v>
      </c>
      <c r="T131" s="27">
        <f t="shared" si="85"/>
        <v>377.89129155446136</v>
      </c>
      <c r="U131" s="27">
        <f t="shared" si="86"/>
        <v>0</v>
      </c>
      <c r="V131" s="27">
        <f t="shared" si="87"/>
        <v>3755.7214849317797</v>
      </c>
      <c r="W131" s="27">
        <f t="shared" si="88"/>
        <v>508.44363926824008</v>
      </c>
      <c r="X131" s="15">
        <f t="shared" si="89"/>
        <v>0.74323142698437206</v>
      </c>
      <c r="Y131" s="15">
        <f t="shared" si="97"/>
        <v>0.74323142698437206</v>
      </c>
    </row>
    <row r="132" spans="1:25">
      <c r="A132" s="14">
        <f>'a（自動）計算用'!D19</f>
        <v>24</v>
      </c>
      <c r="B132" s="156">
        <f>'a（自動）計算用'!F19</f>
        <v>1603.0043655536742</v>
      </c>
      <c r="C132" s="156"/>
      <c r="D132" s="26">
        <f>'a（自動）計算用'!G19</f>
        <v>15.412805825357026</v>
      </c>
      <c r="E132" s="26">
        <f t="shared" si="91"/>
        <v>40.03753695663201</v>
      </c>
      <c r="F132" s="26">
        <f t="shared" si="73"/>
        <v>7.8092935839860758</v>
      </c>
      <c r="G132" s="26">
        <f t="shared" si="74"/>
        <v>51.650750231144897</v>
      </c>
      <c r="H132" s="26">
        <f t="shared" si="92"/>
        <v>20.254709734919263</v>
      </c>
      <c r="I132" s="26">
        <f t="shared" si="76"/>
        <v>19.850943424101803</v>
      </c>
      <c r="J132" s="27">
        <f t="shared" ref="J132:K132" si="110">J16</f>
        <v>0.1913100412783364</v>
      </c>
      <c r="K132" s="155">
        <f t="shared" si="110"/>
        <v>2151.8476991637572</v>
      </c>
      <c r="L132" s="27">
        <f t="shared" si="78"/>
        <v>403.35587238814719</v>
      </c>
      <c r="M132" s="155">
        <f>'a（自動）計算用'!L19</f>
        <v>450</v>
      </c>
      <c r="N132" s="155">
        <f t="shared" si="79"/>
        <v>1153.0043655536742</v>
      </c>
      <c r="O132" s="26">
        <f t="shared" si="94"/>
        <v>33.955917975423283</v>
      </c>
      <c r="P132" s="26">
        <f t="shared" si="81"/>
        <v>7.523504489317542</v>
      </c>
      <c r="Q132" s="26">
        <f t="shared" si="95"/>
        <v>45.807565145554705</v>
      </c>
      <c r="R132" s="26">
        <f t="shared" si="96"/>
        <v>22.490970060907038</v>
      </c>
      <c r="S132" s="26">
        <f t="shared" si="84"/>
        <v>22.144444427887429</v>
      </c>
      <c r="T132" s="27">
        <f t="shared" si="85"/>
        <v>344.63342201728659</v>
      </c>
      <c r="U132" s="27">
        <f t="shared" si="86"/>
        <v>58.722450370860599</v>
      </c>
      <c r="V132" s="27">
        <f t="shared" si="87"/>
        <v>3586.2645877786294</v>
      </c>
      <c r="W132" s="27">
        <f t="shared" si="88"/>
        <v>531.73633117495217</v>
      </c>
      <c r="X132" s="15">
        <f t="shared" si="89"/>
        <v>0.75856368794073392</v>
      </c>
      <c r="Y132" s="15">
        <f t="shared" si="97"/>
        <v>0.64812840840829267</v>
      </c>
    </row>
    <row r="133" spans="1:25">
      <c r="A133" s="14">
        <f>'a（自動）計算用'!D20</f>
        <v>25</v>
      </c>
      <c r="B133" s="156">
        <f>'a（自動）計算用'!F20</f>
        <v>1153.0043655536742</v>
      </c>
      <c r="C133" s="156"/>
      <c r="D133" s="26">
        <f>'a（自動）計算用'!G20</f>
        <v>15.919929651162615</v>
      </c>
      <c r="E133" s="26">
        <f t="shared" si="91"/>
        <v>33.955917975423283</v>
      </c>
      <c r="F133" s="26">
        <f t="shared" si="73"/>
        <v>7.7387400975299876</v>
      </c>
      <c r="G133" s="26">
        <f t="shared" si="74"/>
        <v>47.509792148010924</v>
      </c>
      <c r="H133" s="26">
        <f t="shared" si="92"/>
        <v>22.905044966337051</v>
      </c>
      <c r="I133" s="26">
        <f t="shared" si="76"/>
        <v>22.542107957952606</v>
      </c>
      <c r="J133" s="27">
        <f t="shared" ref="J133:K133" si="111">J17</f>
        <v>0.20244638576547361</v>
      </c>
      <c r="K133" s="155">
        <f t="shared" si="111"/>
        <v>2134.5439878349262</v>
      </c>
      <c r="L133" s="27">
        <f t="shared" si="78"/>
        <v>367.6659335211275</v>
      </c>
      <c r="M133" s="155">
        <f>'a（自動）計算用'!L20</f>
        <v>0</v>
      </c>
      <c r="N133" s="155">
        <f t="shared" si="79"/>
        <v>1153.0043655536742</v>
      </c>
      <c r="O133" s="26">
        <f t="shared" si="94"/>
        <v>33.955917975423283</v>
      </c>
      <c r="P133" s="26">
        <f t="shared" si="81"/>
        <v>7.7387400975299876</v>
      </c>
      <c r="Q133" s="26">
        <f t="shared" si="95"/>
        <v>47.509792148010924</v>
      </c>
      <c r="R133" s="26">
        <f t="shared" si="96"/>
        <v>22.905044966337051</v>
      </c>
      <c r="S133" s="26">
        <f t="shared" si="84"/>
        <v>22.542107957952606</v>
      </c>
      <c r="T133" s="27">
        <f t="shared" si="85"/>
        <v>367.6659335211275</v>
      </c>
      <c r="U133" s="27">
        <f t="shared" si="86"/>
        <v>0</v>
      </c>
      <c r="V133" s="27">
        <f t="shared" si="87"/>
        <v>3433.2192284881103</v>
      </c>
      <c r="W133" s="27">
        <f t="shared" si="88"/>
        <v>554.7185360791425</v>
      </c>
      <c r="X133" s="15">
        <f t="shared" si="89"/>
        <v>0.66279727394700227</v>
      </c>
      <c r="Y133" s="15">
        <f t="shared" si="97"/>
        <v>0.66279727394700227</v>
      </c>
    </row>
    <row r="134" spans="1:25">
      <c r="A134" s="14">
        <f>'a（自動）計算用'!D21</f>
        <v>26</v>
      </c>
      <c r="B134" s="156">
        <f>'a（自動）計算用'!F21</f>
        <v>1153.0043655536742</v>
      </c>
      <c r="C134" s="156"/>
      <c r="D134" s="26">
        <f>'a（自動）計算用'!G21</f>
        <v>16.415057105306442</v>
      </c>
      <c r="E134" s="26">
        <f t="shared" si="91"/>
        <v>33.955917975423283</v>
      </c>
      <c r="F134" s="26">
        <f t="shared" si="73"/>
        <v>7.948884155672074</v>
      </c>
      <c r="G134" s="26">
        <f t="shared" si="74"/>
        <v>49.151643171582251</v>
      </c>
      <c r="H134" s="26">
        <f t="shared" si="92"/>
        <v>23.297461572891816</v>
      </c>
      <c r="I134" s="26">
        <f t="shared" si="76"/>
        <v>22.918586201051557</v>
      </c>
      <c r="J134" s="27">
        <f t="shared" ref="J134:K134" si="112">J18</f>
        <v>0.21349663592848853</v>
      </c>
      <c r="K134" s="155">
        <f t="shared" si="112"/>
        <v>2117.6469436323105</v>
      </c>
      <c r="L134" s="27">
        <f t="shared" si="78"/>
        <v>390.70071763183762</v>
      </c>
      <c r="M134" s="155">
        <f>'a（自動）計算用'!L21</f>
        <v>0</v>
      </c>
      <c r="N134" s="155">
        <f t="shared" si="79"/>
        <v>1153.0043655536742</v>
      </c>
      <c r="O134" s="26">
        <f t="shared" si="94"/>
        <v>33.955917975423283</v>
      </c>
      <c r="P134" s="26">
        <f t="shared" si="81"/>
        <v>7.948884155672074</v>
      </c>
      <c r="Q134" s="26">
        <f t="shared" si="95"/>
        <v>49.151643171582251</v>
      </c>
      <c r="R134" s="26">
        <f t="shared" si="96"/>
        <v>23.297461572891816</v>
      </c>
      <c r="S134" s="26">
        <f t="shared" si="84"/>
        <v>22.918586201051557</v>
      </c>
      <c r="T134" s="27">
        <f t="shared" si="85"/>
        <v>390.70071763183762</v>
      </c>
      <c r="U134" s="27">
        <f t="shared" si="86"/>
        <v>0</v>
      </c>
      <c r="V134" s="27">
        <f t="shared" si="87"/>
        <v>3294.444268895495</v>
      </c>
      <c r="W134" s="27">
        <f t="shared" si="88"/>
        <v>577.37508628536932</v>
      </c>
      <c r="X134" s="15">
        <f t="shared" si="89"/>
        <v>0.67668440657090057</v>
      </c>
      <c r="Y134" s="15">
        <f t="shared" si="97"/>
        <v>0.67668440657090057</v>
      </c>
    </row>
    <row r="135" spans="1:25">
      <c r="A135" s="14">
        <f>'a（自動）計算用'!D22</f>
        <v>27</v>
      </c>
      <c r="B135" s="156">
        <f>'a（自動）計算用'!F22</f>
        <v>1153.0043655536742</v>
      </c>
      <c r="C135" s="156"/>
      <c r="D135" s="26">
        <f>'a（自動）計算用'!G22</f>
        <v>16.898336786226629</v>
      </c>
      <c r="E135" s="26">
        <f t="shared" si="91"/>
        <v>33.955917975423283</v>
      </c>
      <c r="F135" s="26">
        <f t="shared" si="73"/>
        <v>8.153999732512375</v>
      </c>
      <c r="G135" s="26">
        <f t="shared" si="74"/>
        <v>50.734757760197297</v>
      </c>
      <c r="H135" s="26">
        <f t="shared" si="92"/>
        <v>23.66967959069169</v>
      </c>
      <c r="I135" s="26">
        <f t="shared" si="76"/>
        <v>23.27532449258662</v>
      </c>
      <c r="J135" s="27">
        <f t="shared" ref="J135:K135" si="113">J19</f>
        <v>0.22444560839032568</v>
      </c>
      <c r="K135" s="155">
        <f t="shared" si="113"/>
        <v>2101.166558191509</v>
      </c>
      <c r="L135" s="27">
        <f t="shared" si="78"/>
        <v>413.69120120572887</v>
      </c>
      <c r="M135" s="155">
        <f>'a（自動）計算用'!L22</f>
        <v>0</v>
      </c>
      <c r="N135" s="155">
        <f t="shared" si="79"/>
        <v>1153.0043655536742</v>
      </c>
      <c r="O135" s="26">
        <f t="shared" si="94"/>
        <v>33.955917975423283</v>
      </c>
      <c r="P135" s="26">
        <f t="shared" si="81"/>
        <v>8.153999732512375</v>
      </c>
      <c r="Q135" s="26">
        <f t="shared" si="95"/>
        <v>50.734757760197297</v>
      </c>
      <c r="R135" s="26">
        <f t="shared" si="96"/>
        <v>23.66967959069169</v>
      </c>
      <c r="S135" s="26">
        <f t="shared" si="84"/>
        <v>23.27532449258662</v>
      </c>
      <c r="T135" s="27">
        <f t="shared" si="85"/>
        <v>413.69120120572887</v>
      </c>
      <c r="U135" s="27">
        <f t="shared" si="86"/>
        <v>0</v>
      </c>
      <c r="V135" s="27">
        <f t="shared" si="87"/>
        <v>3168.1476424604743</v>
      </c>
      <c r="W135" s="27">
        <f t="shared" si="88"/>
        <v>599.6928547969045</v>
      </c>
      <c r="X135" s="15">
        <f t="shared" si="89"/>
        <v>0.68983846963764806</v>
      </c>
      <c r="Y135" s="15">
        <f t="shared" si="97"/>
        <v>0.68983846963764806</v>
      </c>
    </row>
    <row r="136" spans="1:25">
      <c r="A136" s="14">
        <f>'a（自動）計算用'!D23</f>
        <v>28</v>
      </c>
      <c r="B136" s="156">
        <f>'a（自動）計算用'!F23</f>
        <v>1153.0043655536742</v>
      </c>
      <c r="C136" s="156"/>
      <c r="D136" s="26">
        <f>'a（自動）計算用'!G23</f>
        <v>17.369926469612402</v>
      </c>
      <c r="E136" s="26">
        <f t="shared" si="91"/>
        <v>33.955917975423283</v>
      </c>
      <c r="F136" s="26">
        <f t="shared" si="73"/>
        <v>8.3541537918666346</v>
      </c>
      <c r="G136" s="26">
        <f t="shared" si="74"/>
        <v>52.260869684328021</v>
      </c>
      <c r="H136" s="26">
        <f t="shared" si="92"/>
        <v>24.023036426431453</v>
      </c>
      <c r="I136" s="26">
        <f t="shared" si="76"/>
        <v>23.613646495244048</v>
      </c>
      <c r="J136" s="27">
        <f t="shared" ref="J136:K136" si="114">J20</f>
        <v>0.23528000711674527</v>
      </c>
      <c r="K136" s="155">
        <f t="shared" si="114"/>
        <v>2085.1092011342921</v>
      </c>
      <c r="L136" s="27">
        <f t="shared" si="78"/>
        <v>436.59534263957698</v>
      </c>
      <c r="M136" s="155">
        <f>'a（自動）計算用'!L23</f>
        <v>0</v>
      </c>
      <c r="N136" s="155">
        <f t="shared" si="79"/>
        <v>1153.0043655536742</v>
      </c>
      <c r="O136" s="26">
        <f t="shared" si="94"/>
        <v>33.955917975423283</v>
      </c>
      <c r="P136" s="26">
        <f t="shared" si="81"/>
        <v>8.3541537918666346</v>
      </c>
      <c r="Q136" s="26">
        <f t="shared" si="95"/>
        <v>52.260869684328021</v>
      </c>
      <c r="R136" s="26">
        <f t="shared" si="96"/>
        <v>24.023036426431453</v>
      </c>
      <c r="S136" s="26">
        <f t="shared" si="84"/>
        <v>23.613646495244048</v>
      </c>
      <c r="T136" s="27">
        <f t="shared" si="85"/>
        <v>436.59534263957698</v>
      </c>
      <c r="U136" s="27">
        <f t="shared" si="86"/>
        <v>0</v>
      </c>
      <c r="V136" s="27">
        <f t="shared" si="87"/>
        <v>3052.8188068335617</v>
      </c>
      <c r="W136" s="27">
        <f t="shared" si="88"/>
        <v>621.66059102074735</v>
      </c>
      <c r="X136" s="15">
        <f t="shared" si="89"/>
        <v>0.70230500203125479</v>
      </c>
      <c r="Y136" s="15">
        <f t="shared" si="97"/>
        <v>0.70230500203125479</v>
      </c>
    </row>
    <row r="137" spans="1:25">
      <c r="A137" s="14">
        <f>'a（自動）計算用'!D24</f>
        <v>29</v>
      </c>
      <c r="B137" s="156">
        <f>'a（自動）計算用'!F24</f>
        <v>1153.0043655536742</v>
      </c>
      <c r="C137" s="156"/>
      <c r="D137" s="26">
        <f>'a（自動）計算用'!G24</f>
        <v>17.829992315883583</v>
      </c>
      <c r="E137" s="26">
        <f t="shared" si="91"/>
        <v>33.955917975423283</v>
      </c>
      <c r="F137" s="26">
        <f t="shared" si="73"/>
        <v>8.5494168562329165</v>
      </c>
      <c r="G137" s="26">
        <f t="shared" si="74"/>
        <v>53.731772114846457</v>
      </c>
      <c r="H137" s="26">
        <f t="shared" si="92"/>
        <v>24.358759390100495</v>
      </c>
      <c r="I137" s="26">
        <f t="shared" si="76"/>
        <v>23.934766339490974</v>
      </c>
      <c r="J137" s="27">
        <f t="shared" ref="J137:K137" si="115">J21</f>
        <v>0.24598823702221345</v>
      </c>
      <c r="K137" s="155">
        <f t="shared" si="115"/>
        <v>2069.4781814832136</v>
      </c>
      <c r="L137" s="27">
        <f t="shared" si="78"/>
        <v>459.37531823393408</v>
      </c>
      <c r="M137" s="155">
        <f>'a（自動）計算用'!L24</f>
        <v>0</v>
      </c>
      <c r="N137" s="155">
        <f t="shared" si="79"/>
        <v>1153.0043655536742</v>
      </c>
      <c r="O137" s="26">
        <f t="shared" si="94"/>
        <v>33.955917975423283</v>
      </c>
      <c r="P137" s="26">
        <f t="shared" si="81"/>
        <v>8.5494168562329165</v>
      </c>
      <c r="Q137" s="26">
        <f t="shared" si="95"/>
        <v>53.731772114846457</v>
      </c>
      <c r="R137" s="26">
        <f t="shared" si="96"/>
        <v>24.358759390100495</v>
      </c>
      <c r="S137" s="26">
        <f t="shared" si="84"/>
        <v>23.934766339490974</v>
      </c>
      <c r="T137" s="27">
        <f t="shared" si="85"/>
        <v>459.37531823393408</v>
      </c>
      <c r="U137" s="27">
        <f t="shared" si="86"/>
        <v>0</v>
      </c>
      <c r="V137" s="27">
        <f t="shared" si="87"/>
        <v>2947.1761645183251</v>
      </c>
      <c r="W137" s="27">
        <f t="shared" si="88"/>
        <v>643.26877416814534</v>
      </c>
      <c r="X137" s="15">
        <f t="shared" si="89"/>
        <v>0.71412656214812165</v>
      </c>
      <c r="Y137" s="15">
        <f t="shared" si="97"/>
        <v>0.71412656214812165</v>
      </c>
    </row>
    <row r="138" spans="1:25">
      <c r="A138" s="14">
        <f>'a（自動）計算用'!D25</f>
        <v>30</v>
      </c>
      <c r="B138" s="156">
        <f>'a（自動）計算用'!F25</f>
        <v>1153.0043655536742</v>
      </c>
      <c r="C138" s="156"/>
      <c r="D138" s="26">
        <f>'a（自動）計算用'!G25</f>
        <v>18.278708131736447</v>
      </c>
      <c r="E138" s="26">
        <f t="shared" si="91"/>
        <v>33.955917975423283</v>
      </c>
      <c r="F138" s="26">
        <f t="shared" si="73"/>
        <v>8.7398626933738051</v>
      </c>
      <c r="G138" s="26">
        <f t="shared" si="74"/>
        <v>55.149290260027513</v>
      </c>
      <c r="H138" s="26">
        <f t="shared" si="92"/>
        <v>24.677976557480907</v>
      </c>
      <c r="I138" s="26">
        <f t="shared" si="76"/>
        <v>24.239799428023662</v>
      </c>
      <c r="J138" s="27">
        <f t="shared" ref="J138:K138" si="116">J22</f>
        <v>0.2565602392849492</v>
      </c>
      <c r="K138" s="155">
        <f t="shared" si="116"/>
        <v>2054.2742297248478</v>
      </c>
      <c r="L138" s="27">
        <f t="shared" si="78"/>
        <v>481.99722450965783</v>
      </c>
      <c r="M138" s="155">
        <f>'a（自動）計算用'!L25</f>
        <v>0</v>
      </c>
      <c r="N138" s="155">
        <f t="shared" si="79"/>
        <v>1153.0043655536742</v>
      </c>
      <c r="O138" s="26">
        <f t="shared" si="94"/>
        <v>33.955917975423283</v>
      </c>
      <c r="P138" s="26">
        <f t="shared" si="81"/>
        <v>8.7398626933738051</v>
      </c>
      <c r="Q138" s="26">
        <f t="shared" si="95"/>
        <v>55.149290260027513</v>
      </c>
      <c r="R138" s="26">
        <f t="shared" si="96"/>
        <v>24.677976557480907</v>
      </c>
      <c r="S138" s="26">
        <f t="shared" si="84"/>
        <v>24.239799428023662</v>
      </c>
      <c r="T138" s="27">
        <f t="shared" si="85"/>
        <v>481.99722450965783</v>
      </c>
      <c r="U138" s="27">
        <f t="shared" si="86"/>
        <v>0</v>
      </c>
      <c r="V138" s="27">
        <f t="shared" si="87"/>
        <v>2850.1257469564539</v>
      </c>
      <c r="W138" s="27">
        <f t="shared" si="88"/>
        <v>664.50948065150385</v>
      </c>
      <c r="X138" s="15">
        <f t="shared" si="89"/>
        <v>0.72534288605949482</v>
      </c>
      <c r="Y138" s="15">
        <f t="shared" si="97"/>
        <v>0.72534288605949482</v>
      </c>
    </row>
    <row r="139" spans="1:25">
      <c r="A139" s="14">
        <f>'a（自動）計算用'!D26</f>
        <v>31</v>
      </c>
      <c r="B139" s="156">
        <f>'a（自動）計算用'!F26</f>
        <v>1153.0043655536742</v>
      </c>
      <c r="C139" s="156"/>
      <c r="D139" s="26">
        <f>'a（自動）計算用'!G26</f>
        <v>18.716254661483859</v>
      </c>
      <c r="E139" s="26">
        <f t="shared" si="91"/>
        <v>33.955917975423283</v>
      </c>
      <c r="F139" s="26">
        <f t="shared" si="73"/>
        <v>8.9255680155440409</v>
      </c>
      <c r="G139" s="26">
        <f t="shared" si="74"/>
        <v>56.515259924637157</v>
      </c>
      <c r="H139" s="26">
        <f t="shared" si="92"/>
        <v>24.981726429712154</v>
      </c>
      <c r="I139" s="26">
        <f t="shared" si="76"/>
        <v>24.529772045089821</v>
      </c>
      <c r="J139" s="27">
        <f t="shared" ref="J139:K139" si="117">J23</f>
        <v>0.26698734495906518</v>
      </c>
      <c r="K139" s="155">
        <f t="shared" si="117"/>
        <v>2039.4959120598244</v>
      </c>
      <c r="L139" s="27">
        <f t="shared" si="78"/>
        <v>504.43079637349933</v>
      </c>
      <c r="M139" s="155">
        <f>'a（自動）計算用'!L26</f>
        <v>0</v>
      </c>
      <c r="N139" s="155">
        <f t="shared" si="79"/>
        <v>1153.0043655536742</v>
      </c>
      <c r="O139" s="26">
        <f t="shared" si="94"/>
        <v>33.955917975423283</v>
      </c>
      <c r="P139" s="26">
        <f t="shared" si="81"/>
        <v>8.9255680155440409</v>
      </c>
      <c r="Q139" s="26">
        <f t="shared" si="95"/>
        <v>56.515259924637157</v>
      </c>
      <c r="R139" s="26">
        <f t="shared" si="96"/>
        <v>24.981726429712154</v>
      </c>
      <c r="S139" s="26">
        <f t="shared" si="84"/>
        <v>24.529772045089821</v>
      </c>
      <c r="T139" s="27">
        <f t="shared" si="85"/>
        <v>504.43079637349933</v>
      </c>
      <c r="U139" s="27">
        <f t="shared" si="86"/>
        <v>0</v>
      </c>
      <c r="V139" s="27">
        <f t="shared" si="87"/>
        <v>2760.7284638568349</v>
      </c>
      <c r="W139" s="27">
        <f t="shared" si="88"/>
        <v>685.37626259495448</v>
      </c>
      <c r="X139" s="15">
        <f t="shared" si="89"/>
        <v>0.73599105178174107</v>
      </c>
      <c r="Y139" s="15">
        <f t="shared" si="97"/>
        <v>0.73599105178174107</v>
      </c>
    </row>
    <row r="140" spans="1:25">
      <c r="A140" s="14">
        <f>'a（自動）計算用'!D27</f>
        <v>32</v>
      </c>
      <c r="B140" s="156">
        <f>'a（自動）計算用'!F27</f>
        <v>1153.0043655536742</v>
      </c>
      <c r="C140" s="156"/>
      <c r="D140" s="26">
        <f>'a（自動）計算用'!G27</f>
        <v>19.142818892220774</v>
      </c>
      <c r="E140" s="26">
        <f t="shared" si="91"/>
        <v>33.955917975423283</v>
      </c>
      <c r="F140" s="26">
        <f t="shared" si="73"/>
        <v>9.1066121845859644</v>
      </c>
      <c r="G140" s="26">
        <f t="shared" si="74"/>
        <v>57.831510772011967</v>
      </c>
      <c r="H140" s="26">
        <f t="shared" si="92"/>
        <v>25.270966521711529</v>
      </c>
      <c r="I140" s="26">
        <f t="shared" si="76"/>
        <v>24.805629901955808</v>
      </c>
      <c r="J140" s="27">
        <f t="shared" ref="J140:K140" si="118">J24</f>
        <v>0.27726214403746469</v>
      </c>
      <c r="K140" s="155">
        <f t="shared" si="118"/>
        <v>2025.1399867002756</v>
      </c>
      <c r="L140" s="27">
        <f t="shared" si="78"/>
        <v>526.64914064941865</v>
      </c>
      <c r="M140" s="155">
        <f>'a（自動）計算用'!L27</f>
        <v>0</v>
      </c>
      <c r="N140" s="155">
        <f t="shared" si="79"/>
        <v>1153.0043655536742</v>
      </c>
      <c r="O140" s="26">
        <f t="shared" si="94"/>
        <v>33.955917975423283</v>
      </c>
      <c r="P140" s="26">
        <f t="shared" si="81"/>
        <v>9.1066121845859644</v>
      </c>
      <c r="Q140" s="26">
        <f t="shared" si="95"/>
        <v>57.831510772011967</v>
      </c>
      <c r="R140" s="26">
        <f t="shared" si="96"/>
        <v>25.270966521711529</v>
      </c>
      <c r="S140" s="26">
        <f t="shared" si="84"/>
        <v>24.805629901955808</v>
      </c>
      <c r="T140" s="27">
        <f t="shared" si="85"/>
        <v>526.64914064941865</v>
      </c>
      <c r="U140" s="27">
        <f t="shared" si="86"/>
        <v>0</v>
      </c>
      <c r="V140" s="27">
        <f t="shared" si="87"/>
        <v>2678.1739297478925</v>
      </c>
      <c r="W140" s="27">
        <f t="shared" si="88"/>
        <v>705.86403524963589</v>
      </c>
      <c r="X140" s="15">
        <f t="shared" si="89"/>
        <v>0.74610564407515667</v>
      </c>
      <c r="Y140" s="15">
        <f t="shared" si="97"/>
        <v>0.74610564407515667</v>
      </c>
    </row>
    <row r="141" spans="1:25">
      <c r="A141" s="14">
        <f>'a（自動）計算用'!D28</f>
        <v>33</v>
      </c>
      <c r="B141" s="156">
        <f>'a（自動）計算用'!F28</f>
        <v>1153.0043655536742</v>
      </c>
      <c r="C141" s="156"/>
      <c r="D141" s="26">
        <f>'a（自動）計算用'!G28</f>
        <v>19.558593363470184</v>
      </c>
      <c r="E141" s="26">
        <f t="shared" si="91"/>
        <v>33.955917975423283</v>
      </c>
      <c r="F141" s="26">
        <f t="shared" si="73"/>
        <v>9.2830769189265698</v>
      </c>
      <c r="G141" s="26">
        <f t="shared" si="74"/>
        <v>59.099853325260199</v>
      </c>
      <c r="H141" s="26">
        <f t="shared" si="92"/>
        <v>25.546581000435143</v>
      </c>
      <c r="I141" s="26">
        <f t="shared" si="76"/>
        <v>25.068245738886567</v>
      </c>
      <c r="J141" s="27">
        <f t="shared" ref="J141:K141" si="119">J25</f>
        <v>0.28737836761749197</v>
      </c>
      <c r="K141" s="155">
        <f t="shared" si="119"/>
        <v>2011.2017105939603</v>
      </c>
      <c r="L141" s="27">
        <f t="shared" si="78"/>
        <v>548.62848431566863</v>
      </c>
      <c r="M141" s="155">
        <f>'a（自動）計算用'!L28</f>
        <v>320</v>
      </c>
      <c r="N141" s="155">
        <f t="shared" si="79"/>
        <v>833.00436555367423</v>
      </c>
      <c r="O141" s="26">
        <f t="shared" si="94"/>
        <v>28.861815007959464</v>
      </c>
      <c r="P141" s="26">
        <f t="shared" si="81"/>
        <v>8.9793032864069779</v>
      </c>
      <c r="Q141" s="26">
        <f t="shared" si="95"/>
        <v>52.287472403689435</v>
      </c>
      <c r="R141" s="26">
        <f t="shared" si="96"/>
        <v>28.270288778249459</v>
      </c>
      <c r="S141" s="26">
        <f t="shared" si="84"/>
        <v>27.850318187127655</v>
      </c>
      <c r="T141" s="27">
        <f t="shared" si="85"/>
        <v>469.50507279236274</v>
      </c>
      <c r="U141" s="27">
        <f t="shared" si="86"/>
        <v>79.12341152330589</v>
      </c>
      <c r="V141" s="27">
        <f t="shared" si="87"/>
        <v>2601.7593871456324</v>
      </c>
      <c r="W141" s="27">
        <f t="shared" si="88"/>
        <v>725.96897165808366</v>
      </c>
      <c r="X141" s="15">
        <f t="shared" si="89"/>
        <v>0.75571891600631835</v>
      </c>
      <c r="Y141" s="15">
        <f t="shared" si="97"/>
        <v>0.64672884258404628</v>
      </c>
    </row>
    <row r="142" spans="1:25">
      <c r="A142" s="14">
        <f>'a（自動）計算用'!D29</f>
        <v>34</v>
      </c>
      <c r="B142" s="156">
        <f>'a（自動）計算用'!F29</f>
        <v>833.00436555367423</v>
      </c>
      <c r="C142" s="156"/>
      <c r="D142" s="26">
        <f>'a（自動）計算用'!G29</f>
        <v>19.963775477128916</v>
      </c>
      <c r="E142" s="26">
        <f t="shared" si="91"/>
        <v>28.861815007959464</v>
      </c>
      <c r="F142" s="26">
        <f t="shared" si="73"/>
        <v>9.1449792958630365</v>
      </c>
      <c r="G142" s="26">
        <f t="shared" si="74"/>
        <v>53.492097875921587</v>
      </c>
      <c r="H142" s="26">
        <f t="shared" si="92"/>
        <v>28.594087109721571</v>
      </c>
      <c r="I142" s="26">
        <f t="shared" si="76"/>
        <v>28.162666852121546</v>
      </c>
      <c r="J142" s="27">
        <f t="shared" ref="J142:K142" si="120">J26</f>
        <v>0.29733078125132401</v>
      </c>
      <c r="K142" s="155">
        <f t="shared" si="120"/>
        <v>1997.6751036696705</v>
      </c>
      <c r="L142" s="27">
        <f t="shared" si="78"/>
        <v>489.18412756758204</v>
      </c>
      <c r="M142" s="155">
        <f>'a（自動）計算用'!L29</f>
        <v>0</v>
      </c>
      <c r="N142" s="155">
        <f t="shared" si="79"/>
        <v>833.00436555367423</v>
      </c>
      <c r="O142" s="26">
        <f t="shared" si="94"/>
        <v>28.861815007959464</v>
      </c>
      <c r="P142" s="26">
        <f t="shared" si="81"/>
        <v>9.1449792958630365</v>
      </c>
      <c r="Q142" s="26">
        <f t="shared" si="95"/>
        <v>53.492097875921587</v>
      </c>
      <c r="R142" s="26">
        <f t="shared" si="96"/>
        <v>28.594087109721571</v>
      </c>
      <c r="S142" s="26">
        <f t="shared" si="84"/>
        <v>28.162666852121546</v>
      </c>
      <c r="T142" s="27">
        <f t="shared" si="85"/>
        <v>489.18412756758204</v>
      </c>
      <c r="U142" s="27">
        <f t="shared" si="86"/>
        <v>0</v>
      </c>
      <c r="V142" s="27">
        <f t="shared" si="87"/>
        <v>2530.8726125482954</v>
      </c>
      <c r="W142" s="27">
        <f t="shared" si="88"/>
        <v>745.68840336172696</v>
      </c>
      <c r="X142" s="15">
        <f t="shared" si="89"/>
        <v>0.65601680991984401</v>
      </c>
      <c r="Y142" s="15">
        <f t="shared" si="97"/>
        <v>0.65601680991984401</v>
      </c>
    </row>
    <row r="143" spans="1:25">
      <c r="A143" s="14">
        <f>'a（自動）計算用'!D30</f>
        <v>35</v>
      </c>
      <c r="B143" s="156">
        <f>'a（自動）計算用'!F30</f>
        <v>833.00436555367423</v>
      </c>
      <c r="C143" s="156"/>
      <c r="D143" s="26">
        <f>'a（自動）計算用'!G30</f>
        <v>20.358566807421841</v>
      </c>
      <c r="E143" s="26">
        <f t="shared" si="91"/>
        <v>28.861815007959464</v>
      </c>
      <c r="F143" s="26">
        <f t="shared" si="73"/>
        <v>9.3064065898276223</v>
      </c>
      <c r="G143" s="26">
        <f t="shared" si="74"/>
        <v>54.656655795624253</v>
      </c>
      <c r="H143" s="26">
        <f t="shared" si="92"/>
        <v>28.903667220609542</v>
      </c>
      <c r="I143" s="26">
        <f t="shared" si="76"/>
        <v>28.461133192967722</v>
      </c>
      <c r="J143" s="27">
        <f t="shared" ref="J143:K143" si="121">J27</f>
        <v>0.30711508792734993</v>
      </c>
      <c r="K143" s="155">
        <f t="shared" si="121"/>
        <v>1984.5531765996327</v>
      </c>
      <c r="L143" s="27">
        <f t="shared" si="78"/>
        <v>508.65706167433763</v>
      </c>
      <c r="M143" s="155">
        <f>'a（自動）計算用'!L30</f>
        <v>0</v>
      </c>
      <c r="N143" s="155">
        <f t="shared" si="79"/>
        <v>833.00436555367423</v>
      </c>
      <c r="O143" s="26">
        <f t="shared" si="94"/>
        <v>28.861815007959464</v>
      </c>
      <c r="P143" s="26">
        <f t="shared" si="81"/>
        <v>9.3064065898276223</v>
      </c>
      <c r="Q143" s="26">
        <f t="shared" si="95"/>
        <v>54.656655795624253</v>
      </c>
      <c r="R143" s="26">
        <f t="shared" si="96"/>
        <v>28.903667220609542</v>
      </c>
      <c r="S143" s="26">
        <f t="shared" si="84"/>
        <v>28.461133192967722</v>
      </c>
      <c r="T143" s="27">
        <f t="shared" si="85"/>
        <v>508.65706167433763</v>
      </c>
      <c r="U143" s="27">
        <f t="shared" si="86"/>
        <v>0</v>
      </c>
      <c r="V143" s="27">
        <f t="shared" si="87"/>
        <v>2464.9779595584341</v>
      </c>
      <c r="W143" s="27">
        <f t="shared" si="88"/>
        <v>765.02072630494592</v>
      </c>
      <c r="X143" s="15">
        <f t="shared" si="89"/>
        <v>0.66489317764128286</v>
      </c>
      <c r="Y143" s="15">
        <f t="shared" si="97"/>
        <v>0.66489317764128286</v>
      </c>
    </row>
    <row r="144" spans="1:25">
      <c r="A144" s="14">
        <f>'a（自動）計算用'!D31</f>
        <v>36</v>
      </c>
      <c r="B144" s="156">
        <f>'a（自動）計算用'!F31</f>
        <v>833.00436555367423</v>
      </c>
      <c r="C144" s="156"/>
      <c r="D144" s="26">
        <f>'a（自動）計算用'!G31</f>
        <v>20.743172413359066</v>
      </c>
      <c r="E144" s="26">
        <f t="shared" si="91"/>
        <v>28.861815007959464</v>
      </c>
      <c r="F144" s="26">
        <f t="shared" si="73"/>
        <v>9.4636690154335508</v>
      </c>
      <c r="G144" s="26">
        <f t="shared" si="74"/>
        <v>55.782380774760767</v>
      </c>
      <c r="H144" s="26">
        <f t="shared" si="92"/>
        <v>29.199804485999564</v>
      </c>
      <c r="I144" s="26">
        <f t="shared" si="76"/>
        <v>28.746482419560312</v>
      </c>
      <c r="J144" s="27">
        <f t="shared" ref="J144:K144" si="122">J28</f>
        <v>0.31672783943203892</v>
      </c>
      <c r="K144" s="155">
        <f t="shared" si="122"/>
        <v>1971.8281271444434</v>
      </c>
      <c r="L144" s="27">
        <f t="shared" si="78"/>
        <v>527.90598854521966</v>
      </c>
      <c r="M144" s="155">
        <f>'a（自動）計算用'!L31</f>
        <v>0</v>
      </c>
      <c r="N144" s="155">
        <f t="shared" si="79"/>
        <v>833.00436555367423</v>
      </c>
      <c r="O144" s="26">
        <f t="shared" si="94"/>
        <v>28.861815007959464</v>
      </c>
      <c r="P144" s="26">
        <f t="shared" si="81"/>
        <v>9.4636690154335508</v>
      </c>
      <c r="Q144" s="26">
        <f t="shared" si="95"/>
        <v>55.782380774760767</v>
      </c>
      <c r="R144" s="26">
        <f t="shared" si="96"/>
        <v>29.199804485999564</v>
      </c>
      <c r="S144" s="26">
        <f t="shared" si="84"/>
        <v>28.746482419560312</v>
      </c>
      <c r="T144" s="27">
        <f t="shared" si="85"/>
        <v>527.90598854521966</v>
      </c>
      <c r="U144" s="27">
        <f t="shared" si="86"/>
        <v>0</v>
      </c>
      <c r="V144" s="27">
        <f t="shared" si="87"/>
        <v>2403.6048913751756</v>
      </c>
      <c r="W144" s="27">
        <f t="shared" si="88"/>
        <v>783.96531137012414</v>
      </c>
      <c r="X144" s="15">
        <f t="shared" si="89"/>
        <v>0.67337926932328995</v>
      </c>
      <c r="Y144" s="15">
        <f t="shared" si="97"/>
        <v>0.67337926932328995</v>
      </c>
    </row>
    <row r="145" spans="1:25">
      <c r="A145" s="14">
        <f>'a（自動）計算用'!D32</f>
        <v>37</v>
      </c>
      <c r="B145" s="156">
        <f>'a（自動）計算用'!F32</f>
        <v>833.00436555367423</v>
      </c>
      <c r="C145" s="156"/>
      <c r="D145" s="26">
        <f>'a（自動）計算用'!G32</f>
        <v>21.117800158034136</v>
      </c>
      <c r="E145" s="26">
        <f t="shared" si="91"/>
        <v>28.861815007959464</v>
      </c>
      <c r="F145" s="26">
        <f t="shared" si="73"/>
        <v>9.6168515663828877</v>
      </c>
      <c r="G145" s="26">
        <f t="shared" si="74"/>
        <v>56.870505630535128</v>
      </c>
      <c r="H145" s="26">
        <f t="shared" si="92"/>
        <v>29.483223548299492</v>
      </c>
      <c r="I145" s="26">
        <f t="shared" si="76"/>
        <v>29.019429308496541</v>
      </c>
      <c r="J145" s="27">
        <f t="shared" ref="J145:K145" si="123">J29</f>
        <v>0.32616635508997066</v>
      </c>
      <c r="K145" s="155">
        <f t="shared" si="123"/>
        <v>1959.4915093649884</v>
      </c>
      <c r="L145" s="27">
        <f t="shared" si="78"/>
        <v>546.9152111539986</v>
      </c>
      <c r="M145" s="155">
        <f>'a（自動）計算用'!L32</f>
        <v>0</v>
      </c>
      <c r="N145" s="155">
        <f t="shared" si="79"/>
        <v>833.00436555367423</v>
      </c>
      <c r="O145" s="26">
        <f t="shared" si="94"/>
        <v>28.861815007959464</v>
      </c>
      <c r="P145" s="26">
        <f t="shared" si="81"/>
        <v>9.6168515663828877</v>
      </c>
      <c r="Q145" s="26">
        <f t="shared" si="95"/>
        <v>56.870505630535128</v>
      </c>
      <c r="R145" s="26">
        <f t="shared" si="96"/>
        <v>29.483223548299492</v>
      </c>
      <c r="S145" s="26">
        <f t="shared" si="84"/>
        <v>29.019429308496541</v>
      </c>
      <c r="T145" s="27">
        <f t="shared" si="85"/>
        <v>546.9152111539986</v>
      </c>
      <c r="U145" s="27">
        <f t="shared" si="86"/>
        <v>0</v>
      </c>
      <c r="V145" s="27">
        <f t="shared" si="87"/>
        <v>2346.3385024498916</v>
      </c>
      <c r="W145" s="27">
        <f t="shared" si="88"/>
        <v>802.52241919130233</v>
      </c>
      <c r="X145" s="15">
        <f t="shared" si="89"/>
        <v>0.68149524309255083</v>
      </c>
      <c r="Y145" s="15">
        <f t="shared" si="97"/>
        <v>0.68149524309255083</v>
      </c>
    </row>
    <row r="146" spans="1:25">
      <c r="A146" s="14">
        <f>'a（自動）計算用'!D33</f>
        <v>38</v>
      </c>
      <c r="B146" s="156">
        <f>'a（自動）計算用'!F33</f>
        <v>833.00436555367423</v>
      </c>
      <c r="C146" s="156"/>
      <c r="D146" s="26">
        <f>'a（自動）計算用'!G33</f>
        <v>21.482660040158859</v>
      </c>
      <c r="E146" s="26">
        <f t="shared" si="91"/>
        <v>28.861815007959464</v>
      </c>
      <c r="F146" s="26">
        <f t="shared" si="73"/>
        <v>9.7660401096164247</v>
      </c>
      <c r="G146" s="26">
        <f t="shared" si="74"/>
        <v>57.922254362063022</v>
      </c>
      <c r="H146" s="26">
        <f t="shared" si="92"/>
        <v>29.754602229728121</v>
      </c>
      <c r="I146" s="26">
        <f t="shared" si="76"/>
        <v>29.28064210267361</v>
      </c>
      <c r="J146" s="27">
        <f t="shared" ref="J146:K146" si="124">J30</f>
        <v>0.3354286470792941</v>
      </c>
      <c r="K146" s="155">
        <f t="shared" si="124"/>
        <v>1947.5343793337991</v>
      </c>
      <c r="L146" s="27">
        <f t="shared" si="78"/>
        <v>565.67105933931236</v>
      </c>
      <c r="M146" s="155">
        <f>'a（自動）計算用'!L33</f>
        <v>0</v>
      </c>
      <c r="N146" s="155">
        <f t="shared" si="79"/>
        <v>833.00436555367423</v>
      </c>
      <c r="O146" s="26">
        <f t="shared" si="94"/>
        <v>28.861815007959464</v>
      </c>
      <c r="P146" s="26">
        <f t="shared" si="81"/>
        <v>9.7660401096164247</v>
      </c>
      <c r="Q146" s="26">
        <f t="shared" si="95"/>
        <v>57.922254362063022</v>
      </c>
      <c r="R146" s="26">
        <f t="shared" si="96"/>
        <v>29.754602229728121</v>
      </c>
      <c r="S146" s="26">
        <f t="shared" si="84"/>
        <v>29.28064210267361</v>
      </c>
      <c r="T146" s="27">
        <f t="shared" si="85"/>
        <v>565.67105933931236</v>
      </c>
      <c r="U146" s="27">
        <f t="shared" si="86"/>
        <v>0</v>
      </c>
      <c r="V146" s="27">
        <f t="shared" si="87"/>
        <v>2292.8116400738322</v>
      </c>
      <c r="W146" s="27">
        <f t="shared" si="88"/>
        <v>820.69311904935478</v>
      </c>
      <c r="X146" s="15">
        <f t="shared" si="89"/>
        <v>0.68926014634380539</v>
      </c>
      <c r="Y146" s="15">
        <f t="shared" si="97"/>
        <v>0.68926014634380539</v>
      </c>
    </row>
    <row r="147" spans="1:25">
      <c r="A147" s="14">
        <f>'a（自動）計算用'!D34</f>
        <v>39</v>
      </c>
      <c r="B147" s="156">
        <f>'a（自動）計算用'!F34</f>
        <v>833.00436555367423</v>
      </c>
      <c r="C147" s="156"/>
      <c r="D147" s="26">
        <f>'a（自動）計算用'!G34</f>
        <v>21.837963543650535</v>
      </c>
      <c r="E147" s="26">
        <f t="shared" si="91"/>
        <v>28.861815007959464</v>
      </c>
      <c r="F147" s="26">
        <f t="shared" si="73"/>
        <v>9.9113211193646436</v>
      </c>
      <c r="G147" s="26">
        <f t="shared" si="74"/>
        <v>58.93883640454726</v>
      </c>
      <c r="H147" s="26">
        <f t="shared" si="92"/>
        <v>30.014575080749427</v>
      </c>
      <c r="I147" s="26">
        <f t="shared" si="76"/>
        <v>29.530746049025506</v>
      </c>
      <c r="J147" s="27">
        <f t="shared" ref="J147:K147" si="125">J31</f>
        <v>0.34451335167749697</v>
      </c>
      <c r="K147" s="155">
        <f t="shared" si="125"/>
        <v>1935.9474204362002</v>
      </c>
      <c r="L147" s="27">
        <f t="shared" si="78"/>
        <v>584.16173400716696</v>
      </c>
      <c r="M147" s="155">
        <f>'a（自動）計算用'!L34</f>
        <v>0</v>
      </c>
      <c r="N147" s="155">
        <f t="shared" si="79"/>
        <v>833.00436555367423</v>
      </c>
      <c r="O147" s="26">
        <f t="shared" si="94"/>
        <v>28.861815007959464</v>
      </c>
      <c r="P147" s="26">
        <f t="shared" si="81"/>
        <v>9.9113211193646436</v>
      </c>
      <c r="Q147" s="26">
        <f t="shared" si="95"/>
        <v>58.93883640454726</v>
      </c>
      <c r="R147" s="26">
        <f t="shared" si="96"/>
        <v>30.014575080749427</v>
      </c>
      <c r="S147" s="26">
        <f t="shared" si="84"/>
        <v>29.530746049025506</v>
      </c>
      <c r="T147" s="27">
        <f t="shared" si="85"/>
        <v>584.16173400716696</v>
      </c>
      <c r="U147" s="27">
        <f t="shared" si="86"/>
        <v>0</v>
      </c>
      <c r="V147" s="27">
        <f t="shared" si="87"/>
        <v>2242.6983208366955</v>
      </c>
      <c r="W147" s="27">
        <f t="shared" si="88"/>
        <v>838.47921175842509</v>
      </c>
      <c r="X147" s="15">
        <f t="shared" si="89"/>
        <v>0.69669197019456963</v>
      </c>
      <c r="Y147" s="15">
        <f t="shared" si="97"/>
        <v>0.69669197019456963</v>
      </c>
    </row>
    <row r="148" spans="1:25">
      <c r="A148" s="14">
        <f>'a（自動）計算用'!D35</f>
        <v>40</v>
      </c>
      <c r="B148" s="156">
        <f>'a（自動）計算用'!F35</f>
        <v>833.00436555367423</v>
      </c>
      <c r="C148" s="156"/>
      <c r="D148" s="26">
        <f>'a（自動）計算用'!G35</f>
        <v>22.183923011010634</v>
      </c>
      <c r="E148" s="26">
        <f t="shared" si="91"/>
        <v>28.861815007959464</v>
      </c>
      <c r="F148" s="26">
        <f t="shared" si="73"/>
        <v>10.05278142092682</v>
      </c>
      <c r="G148" s="26">
        <f t="shared" si="74"/>
        <v>59.921441964162184</v>
      </c>
      <c r="H148" s="26">
        <f t="shared" si="92"/>
        <v>30.263736604675824</v>
      </c>
      <c r="I148" s="26">
        <f t="shared" si="76"/>
        <v>29.770326614206979</v>
      </c>
      <c r="J148" s="27">
        <f t="shared" ref="J148:K148" si="126">J32</f>
        <v>0.3534196659145481</v>
      </c>
      <c r="K148" s="155">
        <f t="shared" si="126"/>
        <v>1924.7210509017389</v>
      </c>
      <c r="L148" s="27">
        <f t="shared" si="78"/>
        <v>602.37715849247434</v>
      </c>
      <c r="M148" s="155">
        <f>'a（自動）計算用'!L35</f>
        <v>0</v>
      </c>
      <c r="N148" s="155">
        <f t="shared" si="79"/>
        <v>833.00436555367423</v>
      </c>
      <c r="O148" s="26">
        <f t="shared" si="94"/>
        <v>28.861815007959464</v>
      </c>
      <c r="P148" s="26">
        <f t="shared" si="81"/>
        <v>10.05278142092682</v>
      </c>
      <c r="Q148" s="26">
        <f t="shared" si="95"/>
        <v>59.921441964162184</v>
      </c>
      <c r="R148" s="26">
        <f t="shared" si="96"/>
        <v>30.263736604675824</v>
      </c>
      <c r="S148" s="26">
        <f t="shared" si="84"/>
        <v>29.770326614206979</v>
      </c>
      <c r="T148" s="27">
        <f t="shared" si="85"/>
        <v>602.37715849247434</v>
      </c>
      <c r="U148" s="27">
        <f t="shared" si="86"/>
        <v>0</v>
      </c>
      <c r="V148" s="27">
        <f t="shared" si="87"/>
        <v>2195.7082012398473</v>
      </c>
      <c r="W148" s="27">
        <f t="shared" si="88"/>
        <v>855.88315652054439</v>
      </c>
      <c r="X148" s="15">
        <f t="shared" si="89"/>
        <v>0.7038077030763662</v>
      </c>
      <c r="Y148" s="15">
        <f t="shared" si="97"/>
        <v>0.7038077030763662</v>
      </c>
    </row>
    <row r="149" spans="1:25">
      <c r="A149" s="14">
        <f>'a（自動）計算用'!D36</f>
        <v>41</v>
      </c>
      <c r="B149" s="156">
        <f>'a（自動）計算用'!F36</f>
        <v>833.00436555367423</v>
      </c>
      <c r="C149" s="156"/>
      <c r="D149" s="26">
        <f>'a（自動）計算用'!G36</f>
        <v>22.520751045788124</v>
      </c>
      <c r="E149" s="26">
        <f t="shared" si="91"/>
        <v>28.861815007959464</v>
      </c>
      <c r="F149" s="26">
        <f t="shared" si="73"/>
        <v>10.190507946342656</v>
      </c>
      <c r="G149" s="26">
        <f t="shared" si="74"/>
        <v>60.8712382697233</v>
      </c>
      <c r="H149" s="26">
        <f t="shared" si="92"/>
        <v>30.50264419411295</v>
      </c>
      <c r="I149" s="26">
        <f t="shared" si="76"/>
        <v>29.999932413522846</v>
      </c>
      <c r="J149" s="27">
        <f t="shared" ref="J149:K149" si="127">J33</f>
        <v>0.36214728920328848</v>
      </c>
      <c r="K149" s="155">
        <f t="shared" si="127"/>
        <v>1913.8455158331576</v>
      </c>
      <c r="L149" s="27">
        <f t="shared" si="78"/>
        <v>620.30883729133245</v>
      </c>
      <c r="M149" s="155">
        <f>'a（自動）計算用'!L36</f>
        <v>0</v>
      </c>
      <c r="N149" s="155">
        <f t="shared" si="79"/>
        <v>833.00436555367423</v>
      </c>
      <c r="O149" s="26">
        <f t="shared" si="94"/>
        <v>28.861815007959464</v>
      </c>
      <c r="P149" s="26">
        <f t="shared" si="81"/>
        <v>10.190507946342656</v>
      </c>
      <c r="Q149" s="26">
        <f t="shared" si="95"/>
        <v>60.8712382697233</v>
      </c>
      <c r="R149" s="26">
        <f t="shared" si="96"/>
        <v>30.50264419411295</v>
      </c>
      <c r="S149" s="26">
        <f t="shared" si="84"/>
        <v>29.999932413522846</v>
      </c>
      <c r="T149" s="27">
        <f t="shared" si="85"/>
        <v>620.30883729133245</v>
      </c>
      <c r="U149" s="27">
        <f t="shared" si="86"/>
        <v>0</v>
      </c>
      <c r="V149" s="27">
        <f t="shared" si="87"/>
        <v>2151.5819113034704</v>
      </c>
      <c r="W149" s="27">
        <f t="shared" si="88"/>
        <v>872.90800176106518</v>
      </c>
      <c r="X149" s="15">
        <f t="shared" si="89"/>
        <v>0.71062338303679007</v>
      </c>
      <c r="Y149" s="15">
        <f t="shared" si="97"/>
        <v>0.71062338303679007</v>
      </c>
    </row>
    <row r="150" spans="1:25">
      <c r="A150" s="14">
        <f>'a（自動）計算用'!D37</f>
        <v>42</v>
      </c>
      <c r="B150" s="156">
        <f>'a（自動）計算用'!F37</f>
        <v>833.00436555367423</v>
      </c>
      <c r="C150" s="156"/>
      <c r="D150" s="26">
        <f>'a（自動）計算用'!G37</f>
        <v>22.848659948719757</v>
      </c>
      <c r="E150" s="26">
        <f t="shared" si="91"/>
        <v>28.861815007959464</v>
      </c>
      <c r="F150" s="26">
        <f t="shared" ref="F150:F181" si="128">$AB$11+$AB$12*D150+$AB$13*E150*D150/100</f>
        <v>10.32458750383414</v>
      </c>
      <c r="G150" s="26">
        <f t="shared" ref="G150:G181" si="129">L150/F150</f>
        <v>61.789366603748761</v>
      </c>
      <c r="H150" s="26">
        <f t="shared" si="92"/>
        <v>30.731820810734543</v>
      </c>
      <c r="I150" s="26">
        <f t="shared" ref="I150:I181" si="130">$AB$15+$AB$16*H150+$AB$17*E150*D150/100</f>
        <v>30.220077884262597</v>
      </c>
      <c r="J150" s="27">
        <f t="shared" ref="J150:K150" si="131">J34</f>
        <v>0.37069636958601443</v>
      </c>
      <c r="K150" s="155">
        <f t="shared" si="131"/>
        <v>1903.3109656898844</v>
      </c>
      <c r="L150" s="27">
        <f t="shared" ref="L150:L181" si="132">($AB$2*D150^$AB$3+$AB$4*D150^$AB$5/B150)^-1</f>
        <v>637.94972230689098</v>
      </c>
      <c r="M150" s="155">
        <f>'a（自動）計算用'!L37</f>
        <v>0</v>
      </c>
      <c r="N150" s="155">
        <f t="shared" ref="N150:N181" si="133">B150-M150</f>
        <v>833.00436555367423</v>
      </c>
      <c r="O150" s="26">
        <f t="shared" si="94"/>
        <v>28.861815007959464</v>
      </c>
      <c r="P150" s="26">
        <f t="shared" ref="P150:P181" si="134">$AB$11+$AB$12*D150+$AB$13*O150*D150/100</f>
        <v>10.32458750383414</v>
      </c>
      <c r="Q150" s="26">
        <f t="shared" si="95"/>
        <v>61.789366603748761</v>
      </c>
      <c r="R150" s="26">
        <f t="shared" si="96"/>
        <v>30.731820810734543</v>
      </c>
      <c r="S150" s="26">
        <f t="shared" ref="S150:S181" si="135">$AB$15+$AB$16*R150+$AB$17*O150*D150/100</f>
        <v>30.220077884262597</v>
      </c>
      <c r="T150" s="27">
        <f t="shared" ref="T150:T181" si="136">($AB$2*D150^$AB$3+$AB$4*D150^$AB$5/N150)^-1</f>
        <v>637.94972230689098</v>
      </c>
      <c r="U150" s="27">
        <f t="shared" ref="U150:U181" si="137">L150-T150</f>
        <v>0</v>
      </c>
      <c r="V150" s="27">
        <f t="shared" ref="V150:V181" si="138">$AB$22*D150^$AB$21</f>
        <v>2110.0870984393314</v>
      </c>
      <c r="W150" s="27">
        <f t="shared" ref="W150:W181" si="139">($AB$2*D150^$AB$3+$AB$4*D150^$AB$5/V150)^-1</f>
        <v>889.55731996908821</v>
      </c>
      <c r="X150" s="15">
        <f t="shared" ref="X150:X181" si="140">L150/W150</f>
        <v>0.71715414845786385</v>
      </c>
      <c r="Y150" s="15">
        <f t="shared" si="97"/>
        <v>0.71715414845786385</v>
      </c>
    </row>
    <row r="151" spans="1:25">
      <c r="A151" s="14">
        <f>'a（自動）計算用'!D38</f>
        <v>43</v>
      </c>
      <c r="B151" s="156">
        <f>'a（自動）計算用'!F38</f>
        <v>833.00436555367423</v>
      </c>
      <c r="C151" s="156"/>
      <c r="D151" s="26">
        <f>'a（自動）計算用'!G38</f>
        <v>23.167861191282384</v>
      </c>
      <c r="E151" s="26">
        <f t="shared" si="91"/>
        <v>28.861815007959464</v>
      </c>
      <c r="F151" s="26">
        <f t="shared" si="128"/>
        <v>10.455106562544945</v>
      </c>
      <c r="G151" s="26">
        <f t="shared" si="129"/>
        <v>62.676939997009733</v>
      </c>
      <c r="H151" s="26">
        <f t="shared" si="92"/>
        <v>30.95175743608014</v>
      </c>
      <c r="I151" s="26">
        <f t="shared" si="130"/>
        <v>30.431245730850911</v>
      </c>
      <c r="J151" s="27">
        <f t="shared" ref="J151:K151" si="141">J35</f>
        <v>0.3790674542865205</v>
      </c>
      <c r="K151" s="155">
        <f t="shared" si="141"/>
        <v>1893.1075229241142</v>
      </c>
      <c r="L151" s="27">
        <f t="shared" si="132"/>
        <v>655.29408668297219</v>
      </c>
      <c r="M151" s="155">
        <f>'a（自動）計算用'!L38</f>
        <v>0</v>
      </c>
      <c r="N151" s="155">
        <f t="shared" si="133"/>
        <v>833.00436555367423</v>
      </c>
      <c r="O151" s="26">
        <f t="shared" si="94"/>
        <v>28.861815007959464</v>
      </c>
      <c r="P151" s="26">
        <f t="shared" si="134"/>
        <v>10.455106562544945</v>
      </c>
      <c r="Q151" s="26">
        <f t="shared" si="95"/>
        <v>62.676939997009733</v>
      </c>
      <c r="R151" s="26">
        <f t="shared" si="96"/>
        <v>30.95175743608014</v>
      </c>
      <c r="S151" s="26">
        <f t="shared" si="135"/>
        <v>30.431245730850911</v>
      </c>
      <c r="T151" s="27">
        <f t="shared" si="136"/>
        <v>655.29408668297219</v>
      </c>
      <c r="U151" s="27">
        <f t="shared" si="137"/>
        <v>0</v>
      </c>
      <c r="V151" s="27">
        <f t="shared" si="138"/>
        <v>2071.0150588641682</v>
      </c>
      <c r="W151" s="27">
        <f t="shared" si="139"/>
        <v>905.83514656108605</v>
      </c>
      <c r="X151" s="15">
        <f t="shared" si="140"/>
        <v>0.723414286993314</v>
      </c>
      <c r="Y151" s="15">
        <f t="shared" si="97"/>
        <v>0.723414286993314</v>
      </c>
    </row>
    <row r="152" spans="1:25">
      <c r="A152" s="14">
        <f>'a（自動）計算用'!D39</f>
        <v>44</v>
      </c>
      <c r="B152" s="156">
        <f>'a（自動）計算用'!F39</f>
        <v>833.00436555367423</v>
      </c>
      <c r="C152" s="156"/>
      <c r="D152" s="26">
        <f>'a（自動）計算用'!G39</f>
        <v>23.478564929459516</v>
      </c>
      <c r="E152" s="26">
        <f t="shared" si="91"/>
        <v>28.861815007959464</v>
      </c>
      <c r="F152" s="26">
        <f t="shared" si="128"/>
        <v>10.582151053723111</v>
      </c>
      <c r="G152" s="26">
        <f t="shared" si="129"/>
        <v>63.535041488162946</v>
      </c>
      <c r="H152" s="26">
        <f t="shared" si="92"/>
        <v>31.162915317663735</v>
      </c>
      <c r="I152" s="26">
        <f t="shared" si="130"/>
        <v>30.633889165865401</v>
      </c>
      <c r="J152" s="27">
        <f t="shared" ref="J152:K152" si="142">J36</f>
        <v>0.38726144429276865</v>
      </c>
      <c r="K152" s="155">
        <f t="shared" si="142"/>
        <v>1883.2253382503186</v>
      </c>
      <c r="L152" s="27">
        <f t="shared" si="132"/>
        <v>672.33740623230506</v>
      </c>
      <c r="M152" s="155">
        <f>'a（自動）計算用'!L39</f>
        <v>0</v>
      </c>
      <c r="N152" s="155">
        <f t="shared" si="133"/>
        <v>833.00436555367423</v>
      </c>
      <c r="O152" s="26">
        <f t="shared" si="94"/>
        <v>28.861815007959464</v>
      </c>
      <c r="P152" s="26">
        <f t="shared" si="134"/>
        <v>10.582151053723111</v>
      </c>
      <c r="Q152" s="26">
        <f t="shared" si="95"/>
        <v>63.535041488162946</v>
      </c>
      <c r="R152" s="26">
        <f t="shared" si="96"/>
        <v>31.162915317663735</v>
      </c>
      <c r="S152" s="26">
        <f t="shared" si="135"/>
        <v>30.633889165865401</v>
      </c>
      <c r="T152" s="27">
        <f t="shared" si="136"/>
        <v>672.33740623230506</v>
      </c>
      <c r="U152" s="27">
        <f t="shared" si="137"/>
        <v>0</v>
      </c>
      <c r="V152" s="27">
        <f t="shared" si="138"/>
        <v>2034.1778573975062</v>
      </c>
      <c r="W152" s="27">
        <f t="shared" si="139"/>
        <v>921.74592276792293</v>
      </c>
      <c r="X152" s="15">
        <f t="shared" si="140"/>
        <v>0.72941728259923755</v>
      </c>
      <c r="Y152" s="15">
        <f t="shared" si="97"/>
        <v>0.72941728259923755</v>
      </c>
    </row>
    <row r="153" spans="1:25">
      <c r="A153" s="14">
        <f>'a（自動）計算用'!D40</f>
        <v>45</v>
      </c>
      <c r="B153" s="156">
        <f>'a（自動）計算用'!F40</f>
        <v>833.00436555367423</v>
      </c>
      <c r="C153" s="156"/>
      <c r="D153" s="26">
        <f>'a（自動）計算用'!G40</f>
        <v>23.780979559582203</v>
      </c>
      <c r="E153" s="26">
        <f t="shared" si="91"/>
        <v>28.861815007959464</v>
      </c>
      <c r="F153" s="26">
        <f t="shared" si="128"/>
        <v>10.70580618910763</v>
      </c>
      <c r="G153" s="26">
        <f t="shared" si="129"/>
        <v>64.364722864404641</v>
      </c>
      <c r="H153" s="26">
        <f t="shared" si="92"/>
        <v>31.365728031657309</v>
      </c>
      <c r="I153" s="26">
        <f t="shared" si="130"/>
        <v>30.828433967991618</v>
      </c>
      <c r="J153" s="27">
        <f t="shared" ref="J153:K153" si="143">J37</f>
        <v>0.39527955272051657</v>
      </c>
      <c r="K153" s="155">
        <f t="shared" si="143"/>
        <v>1873.6546378454477</v>
      </c>
      <c r="L153" s="27">
        <f t="shared" si="132"/>
        <v>689.07624840194057</v>
      </c>
      <c r="M153" s="155">
        <f>'a（自動）計算用'!L40</f>
        <v>0</v>
      </c>
      <c r="N153" s="155">
        <f t="shared" si="133"/>
        <v>833.00436555367423</v>
      </c>
      <c r="O153" s="26">
        <f t="shared" si="94"/>
        <v>28.861815007959464</v>
      </c>
      <c r="P153" s="26">
        <f t="shared" si="134"/>
        <v>10.70580618910763</v>
      </c>
      <c r="Q153" s="26">
        <f t="shared" si="95"/>
        <v>64.364722864404641</v>
      </c>
      <c r="R153" s="26">
        <f t="shared" si="96"/>
        <v>31.365728031657309</v>
      </c>
      <c r="S153" s="26">
        <f t="shared" si="135"/>
        <v>30.828433967991618</v>
      </c>
      <c r="T153" s="27">
        <f t="shared" si="136"/>
        <v>689.07624840194057</v>
      </c>
      <c r="U153" s="27">
        <f t="shared" si="137"/>
        <v>0</v>
      </c>
      <c r="V153" s="27">
        <f t="shared" si="138"/>
        <v>1999.4058551113224</v>
      </c>
      <c r="W153" s="27">
        <f t="shared" si="139"/>
        <v>937.29444252017811</v>
      </c>
      <c r="X153" s="15">
        <f t="shared" si="140"/>
        <v>0.73517586058567297</v>
      </c>
      <c r="Y153" s="15">
        <f t="shared" si="97"/>
        <v>0.73517586058567297</v>
      </c>
    </row>
    <row r="154" spans="1:25">
      <c r="A154" s="14">
        <f>'a（自動）計算用'!D41</f>
        <v>46</v>
      </c>
      <c r="B154" s="156">
        <f>'a（自動）計算用'!F41</f>
        <v>833.00436555367423</v>
      </c>
      <c r="C154" s="156"/>
      <c r="D154" s="26">
        <f>'a（自動）計算用'!G41</f>
        <v>24.075311317201503</v>
      </c>
      <c r="E154" s="26">
        <f t="shared" si="91"/>
        <v>28.861815007959464</v>
      </c>
      <c r="F154" s="26">
        <f t="shared" si="128"/>
        <v>10.826156296910328</v>
      </c>
      <c r="G154" s="26">
        <f t="shared" si="129"/>
        <v>65.167003810942191</v>
      </c>
      <c r="H154" s="26">
        <f t="shared" si="92"/>
        <v>31.560603380749829</v>
      </c>
      <c r="I154" s="26">
        <f t="shared" si="130"/>
        <v>31.01528037536141</v>
      </c>
      <c r="J154" s="27">
        <f t="shared" ref="J154:K154" si="144">J38</f>
        <v>0.40312326672569809</v>
      </c>
      <c r="K154" s="155">
        <f t="shared" si="144"/>
        <v>1864.3857626207534</v>
      </c>
      <c r="L154" s="27">
        <f t="shared" si="132"/>
        <v>705.50816865861123</v>
      </c>
      <c r="M154" s="155">
        <f>'a（自動）計算用'!L41</f>
        <v>0</v>
      </c>
      <c r="N154" s="155">
        <f t="shared" si="133"/>
        <v>833.00436555367423</v>
      </c>
      <c r="O154" s="26">
        <f t="shared" si="94"/>
        <v>28.861815007959464</v>
      </c>
      <c r="P154" s="26">
        <f t="shared" si="134"/>
        <v>10.826156296910328</v>
      </c>
      <c r="Q154" s="26">
        <f t="shared" si="95"/>
        <v>65.167003810942191</v>
      </c>
      <c r="R154" s="26">
        <f t="shared" si="96"/>
        <v>31.560603380749829</v>
      </c>
      <c r="S154" s="26">
        <f t="shared" si="135"/>
        <v>31.01528037536141</v>
      </c>
      <c r="T154" s="27">
        <f t="shared" si="136"/>
        <v>705.50816865861123</v>
      </c>
      <c r="U154" s="27">
        <f t="shared" si="137"/>
        <v>0</v>
      </c>
      <c r="V154" s="27">
        <f t="shared" si="138"/>
        <v>1966.5455790975175</v>
      </c>
      <c r="W154" s="27">
        <f t="shared" si="139"/>
        <v>952.48580327783122</v>
      </c>
      <c r="X154" s="15">
        <f t="shared" si="140"/>
        <v>0.74070203065569584</v>
      </c>
      <c r="Y154" s="15">
        <f>T154/W154</f>
        <v>0.74070203065569584</v>
      </c>
    </row>
    <row r="155" spans="1:25">
      <c r="A155" s="14">
        <f>'a（自動）計算用'!D42</f>
        <v>47</v>
      </c>
      <c r="B155" s="156">
        <f>'a（自動）計算用'!F42</f>
        <v>833.00436555367423</v>
      </c>
      <c r="C155" s="156"/>
      <c r="D155" s="26">
        <f>'a（自動）計算用'!G42</f>
        <v>24.361763919122062</v>
      </c>
      <c r="E155" s="26">
        <f t="shared" si="91"/>
        <v>28.861815007959464</v>
      </c>
      <c r="F155" s="26">
        <f t="shared" si="128"/>
        <v>10.943284675445998</v>
      </c>
      <c r="G155" s="26">
        <f t="shared" si="129"/>
        <v>65.942871406973254</v>
      </c>
      <c r="H155" s="26">
        <f t="shared" si="92"/>
        <v>31.747925143453742</v>
      </c>
      <c r="I155" s="26">
        <f t="shared" si="130"/>
        <v>31.194804830427334</v>
      </c>
      <c r="J155" s="27">
        <f t="shared" ref="J155:K155" si="145">J39</f>
        <v>0.41079431274553913</v>
      </c>
      <c r="K155" s="155">
        <f t="shared" si="145"/>
        <v>1855.4092005717732</v>
      </c>
      <c r="L155" s="27">
        <f t="shared" si="132"/>
        <v>721.63161412283648</v>
      </c>
      <c r="M155" s="155">
        <f>'a（自動）計算用'!L42</f>
        <v>0</v>
      </c>
      <c r="N155" s="155">
        <f t="shared" si="133"/>
        <v>833.00436555367423</v>
      </c>
      <c r="O155" s="26">
        <f t="shared" si="94"/>
        <v>28.861815007959464</v>
      </c>
      <c r="P155" s="26">
        <f t="shared" si="134"/>
        <v>10.943284675445998</v>
      </c>
      <c r="Q155" s="26">
        <f t="shared" si="95"/>
        <v>65.942871406973254</v>
      </c>
      <c r="R155" s="26">
        <f t="shared" si="96"/>
        <v>31.747925143453742</v>
      </c>
      <c r="S155" s="26">
        <f t="shared" si="135"/>
        <v>31.194804830427334</v>
      </c>
      <c r="T155" s="27">
        <f t="shared" si="136"/>
        <v>721.63161412283648</v>
      </c>
      <c r="U155" s="27">
        <f t="shared" si="137"/>
        <v>0</v>
      </c>
      <c r="V155" s="27">
        <f t="shared" si="138"/>
        <v>1935.4578804407847</v>
      </c>
      <c r="W155" s="27">
        <f t="shared" si="139"/>
        <v>967.32536072086327</v>
      </c>
      <c r="X155" s="15">
        <f t="shared" si="140"/>
        <v>0.74600712792753343</v>
      </c>
      <c r="Y155" s="15">
        <f t="shared" si="97"/>
        <v>0.74600712792753343</v>
      </c>
    </row>
    <row r="156" spans="1:25">
      <c r="A156" s="14">
        <f>'a（自動）計算用'!D43</f>
        <v>48</v>
      </c>
      <c r="B156" s="156">
        <f>'a（自動）計算用'!F43</f>
        <v>833.00436555367423</v>
      </c>
      <c r="C156" s="156"/>
      <c r="D156" s="26">
        <f>'a（自動）計算用'!G43</f>
        <v>24.64053824799684</v>
      </c>
      <c r="E156" s="26">
        <f t="shared" si="91"/>
        <v>28.861815007959464</v>
      </c>
      <c r="F156" s="26">
        <f t="shared" si="128"/>
        <v>11.057273464165496</v>
      </c>
      <c r="G156" s="26">
        <f t="shared" si="129"/>
        <v>66.693279914197817</v>
      </c>
      <c r="H156" s="26">
        <f t="shared" si="92"/>
        <v>31.928054689107309</v>
      </c>
      <c r="I156" s="26">
        <f t="shared" si="130"/>
        <v>31.367361590533299</v>
      </c>
      <c r="J156" s="27">
        <f t="shared" ref="J156:K156" si="146">J40</f>
        <v>0.4182946248572213</v>
      </c>
      <c r="K156" s="155">
        <f t="shared" si="146"/>
        <v>1846.7156130965525</v>
      </c>
      <c r="L156" s="27">
        <f t="shared" si="132"/>
        <v>737.44583423342112</v>
      </c>
      <c r="M156" s="155">
        <f>'a（自動）計算用'!L43</f>
        <v>220</v>
      </c>
      <c r="N156" s="155">
        <f t="shared" si="133"/>
        <v>613.00436555367423</v>
      </c>
      <c r="O156" s="26">
        <f t="shared" si="94"/>
        <v>24.758924967649023</v>
      </c>
      <c r="P156" s="26">
        <f t="shared" si="134"/>
        <v>10.749036438018248</v>
      </c>
      <c r="Q156" s="26">
        <f t="shared" si="95"/>
        <v>59.210636873646713</v>
      </c>
      <c r="R156" s="26">
        <f t="shared" si="96"/>
        <v>35.068980601464901</v>
      </c>
      <c r="S156" s="26">
        <f t="shared" si="135"/>
        <v>34.564813773661619</v>
      </c>
      <c r="T156" s="27">
        <f t="shared" si="136"/>
        <v>636.45729327309539</v>
      </c>
      <c r="U156" s="27">
        <f t="shared" si="137"/>
        <v>100.98854096032574</v>
      </c>
      <c r="V156" s="27">
        <f t="shared" si="138"/>
        <v>1906.0163359761223</v>
      </c>
      <c r="W156" s="27">
        <f t="shared" si="139"/>
        <v>981.8186871893364</v>
      </c>
      <c r="X156" s="15">
        <f t="shared" si="140"/>
        <v>0.75110185195651125</v>
      </c>
      <c r="Y156" s="15">
        <f t="shared" si="97"/>
        <v>0.64824320577467209</v>
      </c>
    </row>
    <row r="157" spans="1:25">
      <c r="A157" s="14">
        <f>'a（自動）計算用'!D44</f>
        <v>49</v>
      </c>
      <c r="B157" s="156">
        <f>'a（自動）計算用'!F44</f>
        <v>613.00436555367423</v>
      </c>
      <c r="C157" s="156"/>
      <c r="D157" s="26">
        <f>'a（自動）計算用'!G44</f>
        <v>24.911832078263824</v>
      </c>
      <c r="E157" s="26">
        <f t="shared" si="91"/>
        <v>24.758924967649023</v>
      </c>
      <c r="F157" s="26">
        <f t="shared" si="128"/>
        <v>10.856572796972106</v>
      </c>
      <c r="G157" s="26">
        <f t="shared" si="129"/>
        <v>59.924205489020267</v>
      </c>
      <c r="H157" s="26">
        <f t="shared" si="92"/>
        <v>35.279662182343287</v>
      </c>
      <c r="I157" s="26">
        <f t="shared" si="130"/>
        <v>34.768742386492079</v>
      </c>
      <c r="J157" s="27">
        <f t="shared" ref="J157:K157" si="147">J41</f>
        <v>0.4256263160497904</v>
      </c>
      <c r="K157" s="155">
        <f t="shared" si="147"/>
        <v>1838.2958560703667</v>
      </c>
      <c r="L157" s="27">
        <f t="shared" si="132"/>
        <v>650.57149919226401</v>
      </c>
      <c r="M157" s="155">
        <f>'a（自動）計算用'!L44</f>
        <v>0</v>
      </c>
      <c r="N157" s="155">
        <f t="shared" si="133"/>
        <v>613.00436555367423</v>
      </c>
      <c r="O157" s="26">
        <f t="shared" si="94"/>
        <v>24.758924967649023</v>
      </c>
      <c r="P157" s="26">
        <f t="shared" si="134"/>
        <v>10.856572796972106</v>
      </c>
      <c r="Q157" s="26">
        <f t="shared" si="95"/>
        <v>59.924205489020267</v>
      </c>
      <c r="R157" s="26">
        <f t="shared" si="96"/>
        <v>35.279662182343287</v>
      </c>
      <c r="S157" s="26">
        <f t="shared" si="135"/>
        <v>34.768742386492079</v>
      </c>
      <c r="T157" s="27">
        <f t="shared" si="136"/>
        <v>650.57149919226401</v>
      </c>
      <c r="U157" s="27">
        <f t="shared" si="137"/>
        <v>0</v>
      </c>
      <c r="V157" s="27">
        <f t="shared" si="138"/>
        <v>1878.1058570682103</v>
      </c>
      <c r="W157" s="27">
        <f t="shared" si="139"/>
        <v>995.97153373646449</v>
      </c>
      <c r="X157" s="15">
        <f t="shared" si="140"/>
        <v>0.65320290505853573</v>
      </c>
      <c r="Y157" s="15">
        <f t="shared" si="97"/>
        <v>0.65320290505853573</v>
      </c>
    </row>
    <row r="158" spans="1:25">
      <c r="A158" s="14">
        <f>'a（自動）計算用'!D45</f>
        <v>50</v>
      </c>
      <c r="B158" s="156">
        <f>'a（自動）計算用'!F45</f>
        <v>613.00436555367423</v>
      </c>
      <c r="C158" s="156"/>
      <c r="D158" s="26">
        <f>'a（自動）計算用'!G45</f>
        <v>25.175839841701567</v>
      </c>
      <c r="E158" s="26">
        <f t="shared" si="91"/>
        <v>24.758924967649023</v>
      </c>
      <c r="F158" s="26">
        <f t="shared" si="128"/>
        <v>10.961221080302792</v>
      </c>
      <c r="G158" s="26">
        <f t="shared" si="129"/>
        <v>60.615633878519382</v>
      </c>
      <c r="H158" s="26">
        <f t="shared" si="92"/>
        <v>35.482613542926124</v>
      </c>
      <c r="I158" s="26">
        <f t="shared" si="130"/>
        <v>34.965136950983052</v>
      </c>
      <c r="J158" s="27">
        <f t="shared" ref="J158:K158" si="148">J42</f>
        <v>0.43279165221100319</v>
      </c>
      <c r="K158" s="155">
        <f t="shared" si="148"/>
        <v>1830.1409963754991</v>
      </c>
      <c r="L158" s="27">
        <f t="shared" si="132"/>
        <v>664.42136386514278</v>
      </c>
      <c r="M158" s="155">
        <f>'a（自動）計算用'!L45</f>
        <v>0</v>
      </c>
      <c r="N158" s="155">
        <f t="shared" si="133"/>
        <v>613.00436555367423</v>
      </c>
      <c r="O158" s="26">
        <f t="shared" si="94"/>
        <v>24.758924967649023</v>
      </c>
      <c r="P158" s="26">
        <f t="shared" si="134"/>
        <v>10.961221080302792</v>
      </c>
      <c r="Q158" s="26">
        <f t="shared" si="95"/>
        <v>60.615633878519382</v>
      </c>
      <c r="R158" s="26">
        <f t="shared" si="96"/>
        <v>35.482613542926124</v>
      </c>
      <c r="S158" s="26">
        <f t="shared" si="135"/>
        <v>34.965136950983052</v>
      </c>
      <c r="T158" s="27">
        <f t="shared" si="136"/>
        <v>664.42136386514278</v>
      </c>
      <c r="U158" s="27">
        <f t="shared" si="137"/>
        <v>0</v>
      </c>
      <c r="V158" s="27">
        <f t="shared" si="138"/>
        <v>1851.6214748571686</v>
      </c>
      <c r="W158" s="27">
        <f t="shared" si="139"/>
        <v>1009.7897956370492</v>
      </c>
      <c r="X158" s="15">
        <f t="shared" si="140"/>
        <v>0.65797987535215408</v>
      </c>
      <c r="Y158" s="15">
        <f t="shared" si="97"/>
        <v>0.65797987535215408</v>
      </c>
    </row>
    <row r="159" spans="1:25">
      <c r="A159" s="14">
        <f>'a（自動）計算用'!D46</f>
        <v>51</v>
      </c>
      <c r="B159" s="156">
        <f>'a（自動）計算用'!F46</f>
        <v>613.00436555367423</v>
      </c>
      <c r="C159" s="156"/>
      <c r="D159" s="26">
        <f>'a（自動）計算用'!G46</f>
        <v>25.432752430488847</v>
      </c>
      <c r="E159" s="26">
        <f t="shared" si="91"/>
        <v>24.758924967649023</v>
      </c>
      <c r="F159" s="26">
        <f t="shared" si="128"/>
        <v>11.063056954492799</v>
      </c>
      <c r="G159" s="26">
        <f t="shared" si="129"/>
        <v>61.285649802079654</v>
      </c>
      <c r="H159" s="26">
        <f t="shared" si="92"/>
        <v>35.678178439473115</v>
      </c>
      <c r="I159" s="26">
        <f t="shared" si="130"/>
        <v>35.154335074364454</v>
      </c>
      <c r="J159" s="27">
        <f t="shared" ref="J159:K159" si="149">J43</f>
        <v>0.43979302863660791</v>
      </c>
      <c r="K159" s="155">
        <f t="shared" si="149"/>
        <v>1822.2423245051439</v>
      </c>
      <c r="L159" s="27">
        <f t="shared" si="132"/>
        <v>678.00663425350751</v>
      </c>
      <c r="M159" s="155">
        <f>'a（自動）計算用'!L46</f>
        <v>0</v>
      </c>
      <c r="N159" s="155">
        <f t="shared" si="133"/>
        <v>613.00436555367423</v>
      </c>
      <c r="O159" s="26">
        <f t="shared" si="94"/>
        <v>24.758924967649023</v>
      </c>
      <c r="P159" s="26">
        <f t="shared" si="134"/>
        <v>11.063056954492799</v>
      </c>
      <c r="Q159" s="26">
        <f t="shared" si="95"/>
        <v>61.285649802079654</v>
      </c>
      <c r="R159" s="26">
        <f t="shared" si="96"/>
        <v>35.678178439473115</v>
      </c>
      <c r="S159" s="26">
        <f t="shared" si="135"/>
        <v>35.154335074364454</v>
      </c>
      <c r="T159" s="27">
        <f t="shared" si="136"/>
        <v>678.00663425350751</v>
      </c>
      <c r="U159" s="27">
        <f t="shared" si="137"/>
        <v>0</v>
      </c>
      <c r="V159" s="27">
        <f t="shared" si="138"/>
        <v>1826.4672764694114</v>
      </c>
      <c r="W159" s="27">
        <f t="shared" si="139"/>
        <v>1023.2794811768557</v>
      </c>
      <c r="X159" s="15">
        <f t="shared" si="140"/>
        <v>0.66258206748535997</v>
      </c>
      <c r="Y159" s="15">
        <f t="shared" si="97"/>
        <v>0.66258206748535997</v>
      </c>
    </row>
    <row r="160" spans="1:25">
      <c r="A160" s="14">
        <f>'a（自動）計算用'!D47</f>
        <v>52</v>
      </c>
      <c r="B160" s="156">
        <f>'a（自動）計算用'!F47</f>
        <v>613.00436555367423</v>
      </c>
      <c r="C160" s="156"/>
      <c r="D160" s="26">
        <f>'a（自動）計算用'!G47</f>
        <v>25.682757035368347</v>
      </c>
      <c r="E160" s="26">
        <f t="shared" si="91"/>
        <v>24.758924967649023</v>
      </c>
      <c r="F160" s="26">
        <f t="shared" si="128"/>
        <v>11.16215461883696</v>
      </c>
      <c r="G160" s="26">
        <f t="shared" si="129"/>
        <v>61.934959943267152</v>
      </c>
      <c r="H160" s="26">
        <f t="shared" si="92"/>
        <v>35.866682319730558</v>
      </c>
      <c r="I160" s="26">
        <f t="shared" si="130"/>
        <v>35.336656257800101</v>
      </c>
      <c r="J160" s="27">
        <f t="shared" ref="J160:K160" si="150">J44</f>
        <v>0.44663294887561061</v>
      </c>
      <c r="K160" s="155">
        <f t="shared" si="150"/>
        <v>1814.5913637896699</v>
      </c>
      <c r="L160" s="27">
        <f t="shared" si="132"/>
        <v>691.32759919822149</v>
      </c>
      <c r="M160" s="155">
        <f>'a（自動）計算用'!L47</f>
        <v>0</v>
      </c>
      <c r="N160" s="155">
        <f t="shared" si="133"/>
        <v>613.00436555367423</v>
      </c>
      <c r="O160" s="26">
        <f t="shared" si="94"/>
        <v>24.758924967649023</v>
      </c>
      <c r="P160" s="26">
        <f t="shared" si="134"/>
        <v>11.16215461883696</v>
      </c>
      <c r="Q160" s="26">
        <f t="shared" si="95"/>
        <v>61.934959943267152</v>
      </c>
      <c r="R160" s="26">
        <f t="shared" si="96"/>
        <v>35.866682319730558</v>
      </c>
      <c r="S160" s="26">
        <f t="shared" si="135"/>
        <v>35.336656257800101</v>
      </c>
      <c r="T160" s="27">
        <f t="shared" si="136"/>
        <v>691.32759919822149</v>
      </c>
      <c r="U160" s="27">
        <f t="shared" si="137"/>
        <v>0</v>
      </c>
      <c r="V160" s="27">
        <f t="shared" si="138"/>
        <v>1802.5554708253433</v>
      </c>
      <c r="W160" s="27">
        <f t="shared" si="139"/>
        <v>1036.4466835361266</v>
      </c>
      <c r="X160" s="15">
        <f t="shared" si="140"/>
        <v>0.66701704022011521</v>
      </c>
      <c r="Y160" s="15">
        <f t="shared" si="97"/>
        <v>0.66701704022011521</v>
      </c>
    </row>
    <row r="161" spans="1:25">
      <c r="A161" s="14">
        <f>'a（自動）計算用'!D48</f>
        <v>53</v>
      </c>
      <c r="B161" s="156">
        <f>'a（自動）計算用'!F48</f>
        <v>613.00436555367423</v>
      </c>
      <c r="C161" s="156"/>
      <c r="D161" s="26">
        <f>'a（自動）計算用'!G48</f>
        <v>25.926037016324717</v>
      </c>
      <c r="E161" s="26">
        <f t="shared" si="91"/>
        <v>24.758924967649023</v>
      </c>
      <c r="F161" s="26">
        <f t="shared" si="128"/>
        <v>11.25858675418138</v>
      </c>
      <c r="G161" s="26">
        <f t="shared" si="129"/>
        <v>62.564249713820409</v>
      </c>
      <c r="H161" s="26">
        <f t="shared" si="92"/>
        <v>36.048433416236165</v>
      </c>
      <c r="I161" s="26">
        <f t="shared" si="130"/>
        <v>35.512402984379627</v>
      </c>
      <c r="J161" s="27">
        <f t="shared" ref="J161:K161" si="151">J45</f>
        <v>0.45331400573165953</v>
      </c>
      <c r="K161" s="155">
        <f t="shared" si="151"/>
        <v>1807.1798767301277</v>
      </c>
      <c r="L161" s="27">
        <f t="shared" si="132"/>
        <v>704.38503311331465</v>
      </c>
      <c r="M161" s="155">
        <f>'a（自動）計算用'!L48</f>
        <v>0</v>
      </c>
      <c r="N161" s="155">
        <f t="shared" si="133"/>
        <v>613.00436555367423</v>
      </c>
      <c r="O161" s="26">
        <f t="shared" si="94"/>
        <v>24.758924967649023</v>
      </c>
      <c r="P161" s="26">
        <f t="shared" si="134"/>
        <v>11.25858675418138</v>
      </c>
      <c r="Q161" s="26">
        <f t="shared" si="95"/>
        <v>62.564249713820409</v>
      </c>
      <c r="R161" s="26">
        <f t="shared" si="96"/>
        <v>36.048433416236165</v>
      </c>
      <c r="S161" s="26">
        <f t="shared" si="135"/>
        <v>35.512402984379627</v>
      </c>
      <c r="T161" s="27">
        <f t="shared" si="136"/>
        <v>704.38503311331465</v>
      </c>
      <c r="U161" s="27">
        <f t="shared" si="137"/>
        <v>0</v>
      </c>
      <c r="V161" s="27">
        <f t="shared" si="138"/>
        <v>1779.8055660696839</v>
      </c>
      <c r="W161" s="27">
        <f t="shared" si="139"/>
        <v>1049.2975555724402</v>
      </c>
      <c r="X161" s="15">
        <f t="shared" si="140"/>
        <v>0.67129197945099583</v>
      </c>
      <c r="Y161" s="15">
        <f t="shared" si="97"/>
        <v>0.67129197945099583</v>
      </c>
    </row>
    <row r="162" spans="1:25">
      <c r="A162" s="14">
        <f>'a（自動）計算用'!D49</f>
        <v>54</v>
      </c>
      <c r="B162" s="156">
        <f>'a（自動）計算用'!F49</f>
        <v>613.00436555367423</v>
      </c>
      <c r="C162" s="156"/>
      <c r="D162" s="26">
        <f>'a（自動）計算用'!G49</f>
        <v>26.162771803082592</v>
      </c>
      <c r="E162" s="26">
        <f t="shared" si="91"/>
        <v>24.758924967649023</v>
      </c>
      <c r="F162" s="26">
        <f t="shared" si="128"/>
        <v>11.35242448348251</v>
      </c>
      <c r="G162" s="26">
        <f t="shared" si="129"/>
        <v>63.174183213330494</v>
      </c>
      <c r="H162" s="26">
        <f t="shared" si="92"/>
        <v>36.22372377113863</v>
      </c>
      <c r="I162" s="26">
        <f t="shared" si="130"/>
        <v>35.681861738537783</v>
      </c>
      <c r="J162" s="27">
        <f t="shared" ref="J162:K162" si="152">J46</f>
        <v>0.45983886424785586</v>
      </c>
      <c r="K162" s="155">
        <f t="shared" si="152"/>
        <v>1799.9998688671092</v>
      </c>
      <c r="L162" s="27">
        <f t="shared" si="132"/>
        <v>717.18014423502291</v>
      </c>
      <c r="M162" s="155">
        <f>'a（自動）計算用'!L49</f>
        <v>0</v>
      </c>
      <c r="N162" s="155">
        <f t="shared" si="133"/>
        <v>613.00436555367423</v>
      </c>
      <c r="O162" s="26">
        <f t="shared" si="94"/>
        <v>24.758924967649023</v>
      </c>
      <c r="P162" s="26">
        <f t="shared" si="134"/>
        <v>11.35242448348251</v>
      </c>
      <c r="Q162" s="26">
        <f t="shared" si="95"/>
        <v>63.174183213330494</v>
      </c>
      <c r="R162" s="26">
        <f t="shared" si="96"/>
        <v>36.22372377113863</v>
      </c>
      <c r="S162" s="26">
        <f t="shared" si="135"/>
        <v>35.681861738537783</v>
      </c>
      <c r="T162" s="27">
        <f t="shared" si="136"/>
        <v>717.18014423502291</v>
      </c>
      <c r="U162" s="27">
        <f t="shared" si="137"/>
        <v>0</v>
      </c>
      <c r="V162" s="27">
        <f t="shared" si="138"/>
        <v>1758.1436434486977</v>
      </c>
      <c r="W162" s="27">
        <f t="shared" si="139"/>
        <v>1061.8382873040182</v>
      </c>
      <c r="X162" s="15">
        <f t="shared" si="140"/>
        <v>0.67541371676842243</v>
      </c>
      <c r="Y162" s="15">
        <f t="shared" si="97"/>
        <v>0.67541371676842243</v>
      </c>
    </row>
    <row r="163" spans="1:25">
      <c r="A163" s="14">
        <f>'a（自動）計算用'!D50</f>
        <v>55</v>
      </c>
      <c r="B163" s="156">
        <f>'a（自動）計算用'!F50</f>
        <v>613.00436555367423</v>
      </c>
      <c r="C163" s="156"/>
      <c r="D163" s="26">
        <f>'a（自動）計算用'!G50</f>
        <v>26.393136822696903</v>
      </c>
      <c r="E163" s="26">
        <f t="shared" si="91"/>
        <v>24.758924967649023</v>
      </c>
      <c r="F163" s="26">
        <f t="shared" si="128"/>
        <v>11.443737343105148</v>
      </c>
      <c r="G163" s="26">
        <f t="shared" si="129"/>
        <v>63.765403319573977</v>
      </c>
      <c r="H163" s="26">
        <f t="shared" si="92"/>
        <v>36.392830197084947</v>
      </c>
      <c r="I163" s="26">
        <f t="shared" si="130"/>
        <v>35.845303961474485</v>
      </c>
      <c r="J163" s="27">
        <f t="shared" ref="J163:K163" si="153">J47</f>
        <v>0.46621024651008891</v>
      </c>
      <c r="K163" s="155">
        <f t="shared" si="153"/>
        <v>1793.0435905621105</v>
      </c>
      <c r="L163" s="27">
        <f t="shared" si="132"/>
        <v>729.71452716636975</v>
      </c>
      <c r="M163" s="155">
        <f>'a（自動）計算用'!L50</f>
        <v>0</v>
      </c>
      <c r="N163" s="155">
        <f t="shared" si="133"/>
        <v>613.00436555367423</v>
      </c>
      <c r="O163" s="26">
        <f t="shared" si="94"/>
        <v>24.758924967649023</v>
      </c>
      <c r="P163" s="26">
        <f t="shared" si="134"/>
        <v>11.443737343105148</v>
      </c>
      <c r="Q163" s="26">
        <f t="shared" si="95"/>
        <v>63.765403319573977</v>
      </c>
      <c r="R163" s="26">
        <f t="shared" si="96"/>
        <v>36.392830197084947</v>
      </c>
      <c r="S163" s="26">
        <f t="shared" si="135"/>
        <v>35.845303961474485</v>
      </c>
      <c r="T163" s="27">
        <f t="shared" si="136"/>
        <v>729.71452716636975</v>
      </c>
      <c r="U163" s="27">
        <f t="shared" si="137"/>
        <v>0</v>
      </c>
      <c r="V163" s="27">
        <f t="shared" si="138"/>
        <v>1737.5017147752221</v>
      </c>
      <c r="W163" s="27">
        <f t="shared" si="139"/>
        <v>1074.0750858941053</v>
      </c>
      <c r="X163" s="15">
        <f t="shared" si="140"/>
        <v>0.67938874735086574</v>
      </c>
      <c r="Y163" s="15">
        <f t="shared" si="97"/>
        <v>0.67938874735086574</v>
      </c>
    </row>
    <row r="164" spans="1:25">
      <c r="A164" s="14">
        <f>'a（自動）計算用'!D51</f>
        <v>56</v>
      </c>
      <c r="B164" s="156">
        <f>'a（自動）計算用'!F51</f>
        <v>613.00436555367423</v>
      </c>
      <c r="C164" s="156"/>
      <c r="D164" s="26">
        <f>'a（自動）計算用'!G51</f>
        <v>26.617303451534312</v>
      </c>
      <c r="E164" s="26">
        <f t="shared" si="91"/>
        <v>24.758924967649023</v>
      </c>
      <c r="F164" s="26">
        <f t="shared" si="128"/>
        <v>11.532593263788685</v>
      </c>
      <c r="G164" s="26">
        <f t="shared" si="129"/>
        <v>64.338531887906967</v>
      </c>
      <c r="H164" s="26">
        <f t="shared" si="92"/>
        <v>36.556015178324635</v>
      </c>
      <c r="I164" s="26">
        <f t="shared" si="130"/>
        <v>36.002986946747257</v>
      </c>
      <c r="J164" s="27">
        <f t="shared" ref="J164:K164" si="154">J48</f>
        <v>0.47243091811232818</v>
      </c>
      <c r="K164" s="155">
        <f t="shared" si="154"/>
        <v>1786.303537022781</v>
      </c>
      <c r="L164" s="27">
        <f t="shared" si="132"/>
        <v>741.99011945252948</v>
      </c>
      <c r="M164" s="155">
        <f>'a（自動）計算用'!L51</f>
        <v>0</v>
      </c>
      <c r="N164" s="155">
        <f t="shared" si="133"/>
        <v>613.00436555367423</v>
      </c>
      <c r="O164" s="26">
        <f t="shared" si="94"/>
        <v>24.758924967649023</v>
      </c>
      <c r="P164" s="26">
        <f t="shared" si="134"/>
        <v>11.532593263788685</v>
      </c>
      <c r="Q164" s="26">
        <f t="shared" si="95"/>
        <v>64.338531887906967</v>
      </c>
      <c r="R164" s="26">
        <f t="shared" si="96"/>
        <v>36.556015178324635</v>
      </c>
      <c r="S164" s="26">
        <f t="shared" si="135"/>
        <v>36.002986946747257</v>
      </c>
      <c r="T164" s="27">
        <f t="shared" si="136"/>
        <v>741.99011945252948</v>
      </c>
      <c r="U164" s="27">
        <f t="shared" si="137"/>
        <v>0</v>
      </c>
      <c r="V164" s="27">
        <f t="shared" si="138"/>
        <v>1717.8171525474156</v>
      </c>
      <c r="W164" s="27">
        <f t="shared" si="139"/>
        <v>1086.0141579395729</v>
      </c>
      <c r="X164" s="15">
        <f t="shared" si="140"/>
        <v>0.68322324716305838</v>
      </c>
      <c r="Y164" s="15">
        <f t="shared" si="97"/>
        <v>0.68322324716305838</v>
      </c>
    </row>
    <row r="165" spans="1:25">
      <c r="A165" s="14">
        <f>'a（自動）計算用'!D52</f>
        <v>57</v>
      </c>
      <c r="B165" s="156">
        <f>'a（自動）計算用'!F52</f>
        <v>613.00436555367423</v>
      </c>
      <c r="C165" s="156"/>
      <c r="D165" s="26">
        <f>'a（自動）計算用'!G52</f>
        <v>26.835438989018716</v>
      </c>
      <c r="E165" s="26">
        <f t="shared" si="91"/>
        <v>24.758924967649023</v>
      </c>
      <c r="F165" s="26">
        <f t="shared" si="128"/>
        <v>11.619058560240251</v>
      </c>
      <c r="G165" s="26">
        <f t="shared" si="129"/>
        <v>64.89417004074312</v>
      </c>
      <c r="H165" s="26">
        <f t="shared" si="92"/>
        <v>36.713527715836243</v>
      </c>
      <c r="I165" s="26">
        <f t="shared" si="130"/>
        <v>36.155154679865177</v>
      </c>
      <c r="J165" s="27">
        <f t="shared" ref="J165:K165" si="155">J49</f>
        <v>0.4785036761360319</v>
      </c>
      <c r="K165" s="155">
        <f t="shared" si="155"/>
        <v>1779.7724468624328</v>
      </c>
      <c r="L165" s="27">
        <f t="shared" si="132"/>
        <v>754.00916192158274</v>
      </c>
      <c r="M165" s="155">
        <f>'a（自動）計算用'!L52</f>
        <v>0</v>
      </c>
      <c r="N165" s="155">
        <f t="shared" si="133"/>
        <v>613.00436555367423</v>
      </c>
      <c r="O165" s="26">
        <f t="shared" si="94"/>
        <v>24.758924967649023</v>
      </c>
      <c r="P165" s="26">
        <f t="shared" si="134"/>
        <v>11.619058560240251</v>
      </c>
      <c r="Q165" s="26">
        <f t="shared" si="95"/>
        <v>64.89417004074312</v>
      </c>
      <c r="R165" s="26">
        <f t="shared" si="96"/>
        <v>36.713527715836243</v>
      </c>
      <c r="S165" s="26">
        <f t="shared" si="135"/>
        <v>36.155154679865177</v>
      </c>
      <c r="T165" s="27">
        <f t="shared" si="136"/>
        <v>754.00916192158274</v>
      </c>
      <c r="U165" s="27">
        <f t="shared" si="137"/>
        <v>0</v>
      </c>
      <c r="V165" s="27">
        <f t="shared" si="138"/>
        <v>1699.0321833928547</v>
      </c>
      <c r="W165" s="27">
        <f t="shared" si="139"/>
        <v>1097.6616938719212</v>
      </c>
      <c r="X165" s="15">
        <f t="shared" si="140"/>
        <v>0.68692308944650393</v>
      </c>
      <c r="Y165" s="15">
        <f t="shared" si="97"/>
        <v>0.68692308944650393</v>
      </c>
    </row>
    <row r="166" spans="1:25">
      <c r="A166" s="14">
        <f>'a（自動）計算用'!D53</f>
        <v>58</v>
      </c>
      <c r="B166" s="156">
        <f>'a（自動）計算用'!F53</f>
        <v>613.00436555367423</v>
      </c>
      <c r="C166" s="156"/>
      <c r="D166" s="26">
        <f>'a（自動）計算用'!G53</f>
        <v>27.047706650624068</v>
      </c>
      <c r="E166" s="26">
        <f t="shared" si="91"/>
        <v>24.758924967649023</v>
      </c>
      <c r="F166" s="26">
        <f t="shared" si="128"/>
        <v>11.703197928357195</v>
      </c>
      <c r="G166" s="26">
        <f t="shared" si="129"/>
        <v>65.432898530505369</v>
      </c>
      <c r="H166" s="26">
        <f t="shared" si="92"/>
        <v>36.865604119987957</v>
      </c>
      <c r="I166" s="26">
        <f t="shared" si="130"/>
        <v>36.302038625419563</v>
      </c>
      <c r="J166" s="27">
        <f t="shared" ref="J166:K166" si="156">J50</f>
        <v>0.48443133850486031</v>
      </c>
      <c r="K166" s="155">
        <f t="shared" si="156"/>
        <v>1773.4432994474071</v>
      </c>
      <c r="L166" s="27">
        <f t="shared" si="132"/>
        <v>765.77416252861701</v>
      </c>
      <c r="M166" s="155">
        <f>'a（自動）計算用'!L53</f>
        <v>0</v>
      </c>
      <c r="N166" s="155">
        <f t="shared" si="133"/>
        <v>613.00436555367423</v>
      </c>
      <c r="O166" s="26">
        <f t="shared" si="94"/>
        <v>24.758924967649023</v>
      </c>
      <c r="P166" s="26">
        <f t="shared" si="134"/>
        <v>11.703197928357195</v>
      </c>
      <c r="Q166" s="26">
        <f t="shared" si="95"/>
        <v>65.432898530505369</v>
      </c>
      <c r="R166" s="26">
        <f t="shared" si="96"/>
        <v>36.865604119987957</v>
      </c>
      <c r="S166" s="26">
        <f t="shared" si="135"/>
        <v>36.302038625419563</v>
      </c>
      <c r="T166" s="27">
        <f t="shared" si="136"/>
        <v>765.77416252861701</v>
      </c>
      <c r="U166" s="27">
        <f t="shared" si="137"/>
        <v>0</v>
      </c>
      <c r="V166" s="27">
        <f t="shared" si="138"/>
        <v>1681.093436853798</v>
      </c>
      <c r="W166" s="27">
        <f t="shared" si="139"/>
        <v>1109.0238542859311</v>
      </c>
      <c r="X166" s="15">
        <f t="shared" si="140"/>
        <v>0.69049386049651496</v>
      </c>
      <c r="Y166" s="15">
        <f t="shared" si="97"/>
        <v>0.69049386049651496</v>
      </c>
    </row>
    <row r="167" spans="1:25">
      <c r="A167" s="14">
        <f>'a（自動）計算用'!D54</f>
        <v>59</v>
      </c>
      <c r="B167" s="156">
        <f>'a（自動）計算用'!F54</f>
        <v>613.00436555367423</v>
      </c>
      <c r="C167" s="156"/>
      <c r="D167" s="26">
        <f>'a（自動）計算用'!G54</f>
        <v>27.25426557773557</v>
      </c>
      <c r="E167" s="26">
        <f t="shared" si="91"/>
        <v>24.758924967649023</v>
      </c>
      <c r="F167" s="26">
        <f t="shared" si="128"/>
        <v>11.785074449135889</v>
      </c>
      <c r="G167" s="26">
        <f t="shared" si="129"/>
        <v>65.955278161570348</v>
      </c>
      <c r="H167" s="26">
        <f t="shared" si="92"/>
        <v>37.012468753989751</v>
      </c>
      <c r="I167" s="26">
        <f t="shared" si="130"/>
        <v>36.443858465031724</v>
      </c>
      <c r="J167" s="27">
        <f t="shared" ref="J167:K167" si="157">J51</f>
        <v>0.49021673458505449</v>
      </c>
      <c r="K167" s="155">
        <f t="shared" si="157"/>
        <v>1767.3093112530271</v>
      </c>
      <c r="L167" s="27">
        <f t="shared" si="132"/>
        <v>777.28786344757305</v>
      </c>
      <c r="M167" s="155">
        <f>'a（自動）計算用'!L54</f>
        <v>0</v>
      </c>
      <c r="N167" s="155">
        <f t="shared" si="133"/>
        <v>613.00436555367423</v>
      </c>
      <c r="O167" s="26">
        <f t="shared" si="94"/>
        <v>24.758924967649023</v>
      </c>
      <c r="P167" s="26">
        <f t="shared" si="134"/>
        <v>11.785074449135889</v>
      </c>
      <c r="Q167" s="26">
        <f t="shared" si="95"/>
        <v>65.955278161570348</v>
      </c>
      <c r="R167" s="26">
        <f t="shared" si="96"/>
        <v>37.012468753989751</v>
      </c>
      <c r="S167" s="26">
        <f t="shared" si="135"/>
        <v>36.443858465031724</v>
      </c>
      <c r="T167" s="27">
        <f t="shared" si="136"/>
        <v>777.28786344757305</v>
      </c>
      <c r="U167" s="27">
        <f t="shared" si="137"/>
        <v>0</v>
      </c>
      <c r="V167" s="27">
        <f t="shared" si="138"/>
        <v>1663.9515426586358</v>
      </c>
      <c r="W167" s="27">
        <f t="shared" si="139"/>
        <v>1120.1067580198003</v>
      </c>
      <c r="X167" s="15">
        <f t="shared" si="140"/>
        <v>0.69394087472672206</v>
      </c>
      <c r="Y167" s="15">
        <f t="shared" si="97"/>
        <v>0.69394087472672206</v>
      </c>
    </row>
    <row r="168" spans="1:25">
      <c r="A168" s="14">
        <f>'a（自動）計算用'!D55</f>
        <v>60</v>
      </c>
      <c r="B168" s="156">
        <f>'a（自動）計算用'!F55</f>
        <v>613.00436555367423</v>
      </c>
      <c r="C168" s="156"/>
      <c r="D168" s="26">
        <f>'a（自動）計算用'!G55</f>
        <v>27.455270862155562</v>
      </c>
      <c r="E168" s="26">
        <f t="shared" si="91"/>
        <v>24.758924967649023</v>
      </c>
      <c r="F168" s="26">
        <f t="shared" si="128"/>
        <v>11.864749598385465</v>
      </c>
      <c r="G168" s="26">
        <f t="shared" si="129"/>
        <v>66.46185025863744</v>
      </c>
      <c r="H168" s="26">
        <f t="shared" si="92"/>
        <v>37.154334731172</v>
      </c>
      <c r="I168" s="26">
        <f t="shared" si="130"/>
        <v>36.580822789173901</v>
      </c>
      <c r="J168" s="27">
        <f t="shared" ref="J168:K168" si="158">J52</f>
        <v>0.49586269691100293</v>
      </c>
      <c r="K168" s="155">
        <f t="shared" si="158"/>
        <v>1761.3639314195639</v>
      </c>
      <c r="L168" s="27">
        <f t="shared" si="132"/>
        <v>788.55321116412358</v>
      </c>
      <c r="M168" s="155">
        <f>'a（自動）計算用'!L55</f>
        <v>0</v>
      </c>
      <c r="N168" s="155">
        <f t="shared" si="133"/>
        <v>613.00436555367423</v>
      </c>
      <c r="O168" s="26">
        <f t="shared" si="94"/>
        <v>24.758924967649023</v>
      </c>
      <c r="P168" s="26">
        <f t="shared" si="134"/>
        <v>11.864749598385465</v>
      </c>
      <c r="Q168" s="26">
        <f t="shared" si="95"/>
        <v>66.46185025863744</v>
      </c>
      <c r="R168" s="26">
        <f t="shared" si="96"/>
        <v>37.154334731172</v>
      </c>
      <c r="S168" s="26">
        <f t="shared" si="135"/>
        <v>36.580822789173901</v>
      </c>
      <c r="T168" s="27">
        <f t="shared" si="136"/>
        <v>788.55321116412358</v>
      </c>
      <c r="U168" s="27">
        <f t="shared" si="137"/>
        <v>0</v>
      </c>
      <c r="V168" s="27">
        <f t="shared" si="138"/>
        <v>1647.5607705765235</v>
      </c>
      <c r="W168" s="27">
        <f t="shared" si="139"/>
        <v>1130.9164718202651</v>
      </c>
      <c r="X168" s="15">
        <f t="shared" si="140"/>
        <v>0.69726918902764656</v>
      </c>
      <c r="Y168" s="15">
        <f t="shared" si="97"/>
        <v>0.69726918902764656</v>
      </c>
    </row>
    <row r="169" spans="1:25">
      <c r="A169" s="14">
        <f>'a（自動）計算用'!D56</f>
        <v>61</v>
      </c>
      <c r="B169" s="156">
        <f>'a（自動）計算用'!F56</f>
        <v>613.00436555367423</v>
      </c>
      <c r="C169" s="156"/>
      <c r="D169" s="26">
        <f>'a（自動）計算用'!G56</f>
        <v>27.650873583197519</v>
      </c>
      <c r="E169" s="26">
        <f t="shared" si="91"/>
        <v>24.758924967649023</v>
      </c>
      <c r="F169" s="26">
        <f t="shared" si="128"/>
        <v>11.942283261431243</v>
      </c>
      <c r="G169" s="26">
        <f t="shared" si="129"/>
        <v>66.953137170668171</v>
      </c>
      <c r="H169" s="26">
        <f t="shared" si="92"/>
        <v>37.291404568928513</v>
      </c>
      <c r="I169" s="26">
        <f t="shared" si="130"/>
        <v>36.713129745720913</v>
      </c>
      <c r="J169" s="27">
        <f t="shared" ref="J169:K169" si="159">J53</f>
        <v>0.5013720539245784</v>
      </c>
      <c r="K169" s="155">
        <f t="shared" si="159"/>
        <v>1755.6008366735552</v>
      </c>
      <c r="L169" s="27">
        <f t="shared" si="132"/>
        <v>799.57332933358043</v>
      </c>
      <c r="M169" s="155">
        <f>'a（自動）計算用'!L56</f>
        <v>0</v>
      </c>
      <c r="N169" s="155">
        <f t="shared" si="133"/>
        <v>613.00436555367423</v>
      </c>
      <c r="O169" s="26">
        <f t="shared" si="94"/>
        <v>24.758924967649023</v>
      </c>
      <c r="P169" s="26">
        <f t="shared" si="134"/>
        <v>11.942283261431243</v>
      </c>
      <c r="Q169" s="26">
        <f t="shared" si="95"/>
        <v>66.953137170668171</v>
      </c>
      <c r="R169" s="26">
        <f t="shared" si="96"/>
        <v>37.291404568928513</v>
      </c>
      <c r="S169" s="26">
        <f t="shared" si="135"/>
        <v>36.713129745720913</v>
      </c>
      <c r="T169" s="27">
        <f t="shared" si="136"/>
        <v>799.57332933358043</v>
      </c>
      <c r="U169" s="27">
        <f t="shared" si="137"/>
        <v>0</v>
      </c>
      <c r="V169" s="27">
        <f t="shared" si="138"/>
        <v>1631.8787077573536</v>
      </c>
      <c r="W169" s="27">
        <f t="shared" si="139"/>
        <v>1141.4590014366192</v>
      </c>
      <c r="X169" s="15">
        <f t="shared" si="140"/>
        <v>0.70048361643059642</v>
      </c>
      <c r="Y169" s="15">
        <f t="shared" si="97"/>
        <v>0.70048361643059642</v>
      </c>
    </row>
    <row r="170" spans="1:25">
      <c r="A170" s="14">
        <f>'a（自動）計算用'!D57</f>
        <v>62</v>
      </c>
      <c r="B170" s="156">
        <f>'a（自動）計算用'!F57</f>
        <v>613.00436555367423</v>
      </c>
      <c r="C170" s="156"/>
      <c r="D170" s="26">
        <f>'a（自動）計算用'!G57</f>
        <v>27.841220855483183</v>
      </c>
      <c r="E170" s="26">
        <f t="shared" si="91"/>
        <v>24.758924967649023</v>
      </c>
      <c r="F170" s="26">
        <f t="shared" si="128"/>
        <v>12.017733752060737</v>
      </c>
      <c r="G170" s="26">
        <f t="shared" si="129"/>
        <v>67.429642801068198</v>
      </c>
      <c r="H170" s="26">
        <f t="shared" si="92"/>
        <v>37.42387080198548</v>
      </c>
      <c r="I170" s="26">
        <f t="shared" si="130"/>
        <v>36.840967647911427</v>
      </c>
      <c r="J170" s="27">
        <f t="shared" ref="J170:K170" si="160">J54</f>
        <v>0.5067476236256645</v>
      </c>
      <c r="K170" s="155">
        <f t="shared" si="160"/>
        <v>1750.0139257566989</v>
      </c>
      <c r="L170" s="27">
        <f t="shared" si="132"/>
        <v>810.35149417979665</v>
      </c>
      <c r="M170" s="155">
        <f>'a（自動）計算用'!L57</f>
        <v>0</v>
      </c>
      <c r="N170" s="155">
        <f t="shared" si="133"/>
        <v>613.00436555367423</v>
      </c>
      <c r="O170" s="26">
        <f t="shared" si="94"/>
        <v>24.758924967649023</v>
      </c>
      <c r="P170" s="26">
        <f t="shared" si="134"/>
        <v>12.017733752060737</v>
      </c>
      <c r="Q170" s="26">
        <f t="shared" si="95"/>
        <v>67.429642801068198</v>
      </c>
      <c r="R170" s="26">
        <f t="shared" si="96"/>
        <v>37.42387080198548</v>
      </c>
      <c r="S170" s="26">
        <f t="shared" si="135"/>
        <v>36.840967647911427</v>
      </c>
      <c r="T170" s="27">
        <f t="shared" si="136"/>
        <v>810.35149417979665</v>
      </c>
      <c r="U170" s="27">
        <f t="shared" si="137"/>
        <v>0</v>
      </c>
      <c r="V170" s="27">
        <f t="shared" si="138"/>
        <v>1616.8659691424291</v>
      </c>
      <c r="W170" s="27">
        <f t="shared" si="139"/>
        <v>1151.7402839983101</v>
      </c>
      <c r="X170" s="15">
        <f t="shared" si="140"/>
        <v>0.7035887390919684</v>
      </c>
      <c r="Y170" s="15">
        <f t="shared" si="97"/>
        <v>0.7035887390919684</v>
      </c>
    </row>
    <row r="171" spans="1:25">
      <c r="A171" s="14">
        <f>'a（自動）計算用'!D58</f>
        <v>63</v>
      </c>
      <c r="B171" s="156">
        <f>'a（自動）計算用'!F58</f>
        <v>613.00436555367423</v>
      </c>
      <c r="C171" s="156"/>
      <c r="D171" s="26">
        <f>'a（自動）計算用'!G58</f>
        <v>28.026455885730172</v>
      </c>
      <c r="E171" s="26">
        <f t="shared" si="91"/>
        <v>24.758924967649023</v>
      </c>
      <c r="F171" s="26">
        <f t="shared" si="128"/>
        <v>12.091157835033307</v>
      </c>
      <c r="G171" s="26">
        <f t="shared" si="129"/>
        <v>67.891853156143526</v>
      </c>
      <c r="H171" s="26">
        <f t="shared" si="92"/>
        <v>37.551916557497456</v>
      </c>
      <c r="I171" s="26">
        <f t="shared" si="130"/>
        <v>36.964515544235169</v>
      </c>
      <c r="J171" s="27">
        <f t="shared" ref="J171:K171" si="161">J55</f>
        <v>0.5119922080398166</v>
      </c>
      <c r="K171" s="155">
        <f t="shared" si="161"/>
        <v>1744.5973134840822</v>
      </c>
      <c r="L171" s="27">
        <f t="shared" si="132"/>
        <v>820.89111222383553</v>
      </c>
      <c r="M171" s="155">
        <f>'a（自動）計算用'!L58</f>
        <v>0</v>
      </c>
      <c r="N171" s="155">
        <f t="shared" si="133"/>
        <v>613.00436555367423</v>
      </c>
      <c r="O171" s="26">
        <f t="shared" si="94"/>
        <v>24.758924967649023</v>
      </c>
      <c r="P171" s="26">
        <f t="shared" si="134"/>
        <v>12.091157835033307</v>
      </c>
      <c r="Q171" s="26">
        <f t="shared" si="95"/>
        <v>67.891853156143526</v>
      </c>
      <c r="R171" s="26">
        <f t="shared" si="96"/>
        <v>37.551916557497456</v>
      </c>
      <c r="S171" s="26">
        <f t="shared" si="135"/>
        <v>36.964515544235169</v>
      </c>
      <c r="T171" s="27">
        <f t="shared" si="136"/>
        <v>820.89111222383553</v>
      </c>
      <c r="U171" s="27">
        <f t="shared" si="137"/>
        <v>0</v>
      </c>
      <c r="V171" s="27">
        <f t="shared" si="138"/>
        <v>1602.4859371128059</v>
      </c>
      <c r="W171" s="27">
        <f t="shared" si="139"/>
        <v>1161.7661815417077</v>
      </c>
      <c r="X171" s="15">
        <f t="shared" si="140"/>
        <v>0.70658892061609324</v>
      </c>
      <c r="Y171" s="15">
        <f t="shared" si="97"/>
        <v>0.70658892061609324</v>
      </c>
    </row>
    <row r="172" spans="1:25">
      <c r="A172" s="14">
        <f>'a（自動）計算用'!D59</f>
        <v>64</v>
      </c>
      <c r="B172" s="156">
        <f>'a（自動）計算用'!F59</f>
        <v>613.00436555367423</v>
      </c>
      <c r="C172" s="156"/>
      <c r="D172" s="26">
        <f>'a（自動）計算用'!G59</f>
        <v>28.206718036985855</v>
      </c>
      <c r="E172" s="26">
        <f t="shared" si="91"/>
        <v>24.758924967649023</v>
      </c>
      <c r="F172" s="26">
        <f t="shared" si="128"/>
        <v>12.162610751541393</v>
      </c>
      <c r="G172" s="26">
        <f t="shared" si="129"/>
        <v>68.340236905060593</v>
      </c>
      <c r="H172" s="26">
        <f t="shared" si="92"/>
        <v>37.675716094324045</v>
      </c>
      <c r="I172" s="26">
        <f t="shared" si="130"/>
        <v>37.083943752612889</v>
      </c>
      <c r="J172" s="27">
        <f t="shared" ref="J172:K172" si="162">J56</f>
        <v>0.51710858841714324</v>
      </c>
      <c r="K172" s="155">
        <f t="shared" si="162"/>
        <v>1739.3453245355065</v>
      </c>
      <c r="L172" s="27">
        <f t="shared" si="132"/>
        <v>831.19570014437591</v>
      </c>
      <c r="M172" s="155">
        <f>'a（自動）計算用'!L59</f>
        <v>0</v>
      </c>
      <c r="N172" s="155">
        <f t="shared" si="133"/>
        <v>613.00436555367423</v>
      </c>
      <c r="O172" s="26">
        <f t="shared" si="94"/>
        <v>24.758924967649023</v>
      </c>
      <c r="P172" s="26">
        <f t="shared" si="134"/>
        <v>12.162610751541393</v>
      </c>
      <c r="Q172" s="26">
        <f t="shared" si="95"/>
        <v>68.340236905060593</v>
      </c>
      <c r="R172" s="26">
        <f t="shared" si="96"/>
        <v>37.675716094324045</v>
      </c>
      <c r="S172" s="26">
        <f t="shared" si="135"/>
        <v>37.083943752612889</v>
      </c>
      <c r="T172" s="27">
        <f t="shared" si="136"/>
        <v>831.19570014437591</v>
      </c>
      <c r="U172" s="27">
        <f t="shared" si="137"/>
        <v>0</v>
      </c>
      <c r="V172" s="27">
        <f t="shared" si="138"/>
        <v>1588.7045270387994</v>
      </c>
      <c r="W172" s="27">
        <f t="shared" si="139"/>
        <v>1171.5424755624026</v>
      </c>
      <c r="X172" s="15">
        <f t="shared" si="140"/>
        <v>0.70948831773714205</v>
      </c>
      <c r="Y172" s="15">
        <f t="shared" si="97"/>
        <v>0.70948831773714205</v>
      </c>
    </row>
    <row r="173" spans="1:25">
      <c r="A173" s="14">
        <f>'a（自動）計算用'!D60</f>
        <v>65</v>
      </c>
      <c r="B173" s="156">
        <f>'a（自動）計算用'!F60</f>
        <v>613.00436555367423</v>
      </c>
      <c r="C173" s="156"/>
      <c r="D173" s="26">
        <f>'a（自動）計算用'!G60</f>
        <v>28.382142898926077</v>
      </c>
      <c r="E173" s="26">
        <f t="shared" si="91"/>
        <v>24.758924967649023</v>
      </c>
      <c r="F173" s="26">
        <f t="shared" si="128"/>
        <v>12.232146247075775</v>
      </c>
      <c r="G173" s="26">
        <f t="shared" si="129"/>
        <v>68.775245945603928</v>
      </c>
      <c r="H173" s="26">
        <f t="shared" si="92"/>
        <v>37.79543530870572</v>
      </c>
      <c r="I173" s="26">
        <f t="shared" si="130"/>
        <v>37.19941436109827</v>
      </c>
      <c r="J173" s="27">
        <f t="shared" ref="J173:K173" si="163">J57</f>
        <v>0.52209952108424562</v>
      </c>
      <c r="K173" s="155">
        <f t="shared" si="163"/>
        <v>1734.252487067806</v>
      </c>
      <c r="L173" s="27">
        <f t="shared" si="132"/>
        <v>841.26886658523256</v>
      </c>
      <c r="M173" s="155">
        <f>'a（自動）計算用'!L60</f>
        <v>0</v>
      </c>
      <c r="N173" s="155">
        <f t="shared" si="133"/>
        <v>613.00436555367423</v>
      </c>
      <c r="O173" s="26">
        <f t="shared" si="94"/>
        <v>24.758924967649023</v>
      </c>
      <c r="P173" s="26">
        <f t="shared" si="134"/>
        <v>12.232146247075775</v>
      </c>
      <c r="Q173" s="26">
        <f t="shared" si="95"/>
        <v>68.775245945603928</v>
      </c>
      <c r="R173" s="26">
        <f t="shared" si="96"/>
        <v>37.79543530870572</v>
      </c>
      <c r="S173" s="26">
        <f t="shared" si="135"/>
        <v>37.19941436109827</v>
      </c>
      <c r="T173" s="27">
        <f t="shared" si="136"/>
        <v>841.26886658523256</v>
      </c>
      <c r="U173" s="27">
        <f t="shared" si="137"/>
        <v>0</v>
      </c>
      <c r="V173" s="27">
        <f t="shared" si="138"/>
        <v>1575.489975819336</v>
      </c>
      <c r="W173" s="27">
        <f t="shared" si="139"/>
        <v>1181.0748624799655</v>
      </c>
      <c r="X173" s="15">
        <f t="shared" si="140"/>
        <v>0.7122908913824274</v>
      </c>
      <c r="Y173" s="15">
        <f t="shared" si="97"/>
        <v>0.7122908913824274</v>
      </c>
    </row>
    <row r="174" spans="1:25">
      <c r="A174" s="14">
        <f>'a（自動）計算用'!D61</f>
        <v>66</v>
      </c>
      <c r="B174" s="156">
        <f>'a（自動）計算用'!F61</f>
        <v>613.00436555367423</v>
      </c>
      <c r="C174" s="156"/>
      <c r="D174" s="26">
        <f>'a（自動）計算用'!G61</f>
        <v>28.552862362990862</v>
      </c>
      <c r="E174" s="26">
        <f t="shared" si="91"/>
        <v>24.758924967649023</v>
      </c>
      <c r="F174" s="26">
        <f t="shared" si="128"/>
        <v>12.299816601208097</v>
      </c>
      <c r="G174" s="26">
        <f t="shared" si="129"/>
        <v>69.197315970948878</v>
      </c>
      <c r="H174" s="26">
        <f t="shared" si="92"/>
        <v>37.911232208428267</v>
      </c>
      <c r="I174" s="26">
        <f t="shared" si="130"/>
        <v>37.311081697200123</v>
      </c>
      <c r="J174" s="27">
        <f t="shared" ref="J174:K174" si="164">J58</f>
        <v>0.52696773387827234</v>
      </c>
      <c r="K174" s="155">
        <f t="shared" si="164"/>
        <v>1729.3135262222409</v>
      </c>
      <c r="L174" s="27">
        <f t="shared" si="132"/>
        <v>851.1142957385191</v>
      </c>
      <c r="M174" s="155">
        <f>'a（自動）計算用'!L61</f>
        <v>0</v>
      </c>
      <c r="N174" s="155">
        <f t="shared" si="133"/>
        <v>613.00436555367423</v>
      </c>
      <c r="O174" s="26">
        <f t="shared" si="94"/>
        <v>24.758924967649023</v>
      </c>
      <c r="P174" s="26">
        <f t="shared" si="134"/>
        <v>12.299816601208097</v>
      </c>
      <c r="Q174" s="26">
        <f t="shared" si="95"/>
        <v>69.197315970948878</v>
      </c>
      <c r="R174" s="26">
        <f t="shared" si="96"/>
        <v>37.911232208428267</v>
      </c>
      <c r="S174" s="26">
        <f t="shared" si="135"/>
        <v>37.311081697200123</v>
      </c>
      <c r="T174" s="27">
        <f t="shared" si="136"/>
        <v>851.1142957385191</v>
      </c>
      <c r="U174" s="27">
        <f t="shared" si="137"/>
        <v>0</v>
      </c>
      <c r="V174" s="27">
        <f t="shared" si="138"/>
        <v>1562.8126508650064</v>
      </c>
      <c r="W174" s="27">
        <f t="shared" si="139"/>
        <v>1190.368949912126</v>
      </c>
      <c r="X174" s="15">
        <f t="shared" si="140"/>
        <v>0.71500041714071005</v>
      </c>
      <c r="Y174" s="15">
        <f t="shared" si="97"/>
        <v>0.71500041714071005</v>
      </c>
    </row>
    <row r="175" spans="1:25">
      <c r="A175" s="14">
        <f>'a（自動）計算用'!D62</f>
        <v>67</v>
      </c>
      <c r="B175" s="156">
        <f>'a（自動）計算用'!F62</f>
        <v>613.00436555367423</v>
      </c>
      <c r="C175" s="156"/>
      <c r="D175" s="26">
        <f>'a（自動）計算用'!G62</f>
        <v>28.719004701274081</v>
      </c>
      <c r="E175" s="26">
        <f t="shared" si="91"/>
        <v>24.758924967649023</v>
      </c>
      <c r="F175" s="26">
        <f t="shared" si="128"/>
        <v>12.365672658861437</v>
      </c>
      <c r="G175" s="26">
        <f t="shared" si="129"/>
        <v>69.606867033485116</v>
      </c>
      <c r="H175" s="26">
        <f t="shared" si="92"/>
        <v>38.023257357447164</v>
      </c>
      <c r="I175" s="26">
        <f t="shared" si="130"/>
        <v>37.419092767803114</v>
      </c>
      <c r="J175" s="27">
        <f t="shared" ref="J175:K175" si="165">J59</f>
        <v>0.5317159230989793</v>
      </c>
      <c r="K175" s="155">
        <f t="shared" si="165"/>
        <v>1724.5233575889124</v>
      </c>
      <c r="L175" s="27">
        <f t="shared" si="132"/>
        <v>860.73573254497035</v>
      </c>
      <c r="M175" s="155">
        <f>'a（自動）計算用'!L62</f>
        <v>0</v>
      </c>
      <c r="N175" s="155">
        <f t="shared" si="133"/>
        <v>613.00436555367423</v>
      </c>
      <c r="O175" s="26">
        <f t="shared" si="94"/>
        <v>24.758924967649023</v>
      </c>
      <c r="P175" s="26">
        <f t="shared" si="134"/>
        <v>12.365672658861437</v>
      </c>
      <c r="Q175" s="26">
        <f t="shared" si="95"/>
        <v>69.606867033485116</v>
      </c>
      <c r="R175" s="26">
        <f t="shared" si="96"/>
        <v>38.023257357447164</v>
      </c>
      <c r="S175" s="26">
        <f t="shared" si="135"/>
        <v>37.419092767803114</v>
      </c>
      <c r="T175" s="27">
        <f t="shared" si="136"/>
        <v>860.73573254497035</v>
      </c>
      <c r="U175" s="27">
        <f t="shared" si="137"/>
        <v>0</v>
      </c>
      <c r="V175" s="27">
        <f t="shared" si="138"/>
        <v>1550.6448772930148</v>
      </c>
      <c r="W175" s="27">
        <f t="shared" si="139"/>
        <v>1199.4302536650275</v>
      </c>
      <c r="X175" s="15">
        <f t="shared" si="140"/>
        <v>0.71762049515999071</v>
      </c>
      <c r="Y175" s="15">
        <f t="shared" si="97"/>
        <v>0.71762049515999071</v>
      </c>
    </row>
    <row r="176" spans="1:25">
      <c r="A176" s="14">
        <f>'a（自動）計算用'!D63</f>
        <v>68</v>
      </c>
      <c r="B176" s="156">
        <f>'a（自動）計算用'!F63</f>
        <v>613.00436555367423</v>
      </c>
      <c r="C176" s="156"/>
      <c r="D176" s="26">
        <f>'a（自動）計算用'!G63</f>
        <v>28.880694648217556</v>
      </c>
      <c r="E176" s="26">
        <f t="shared" si="91"/>
        <v>24.758924967649023</v>
      </c>
      <c r="F176" s="26">
        <f t="shared" si="128"/>
        <v>12.429763862692472</v>
      </c>
      <c r="G176" s="26">
        <f t="shared" si="129"/>
        <v>70.004304102430183</v>
      </c>
      <c r="H176" s="26">
        <f t="shared" si="92"/>
        <v>38.131654292828927</v>
      </c>
      <c r="I176" s="26">
        <f t="shared" si="130"/>
        <v>37.523587671548988</v>
      </c>
      <c r="J176" s="27">
        <f t="shared" ref="J176:K176" si="166">J60</f>
        <v>0.53634675092093775</v>
      </c>
      <c r="K176" s="155">
        <f t="shared" si="166"/>
        <v>1719.8770806796765</v>
      </c>
      <c r="L176" s="27">
        <f t="shared" si="132"/>
        <v>870.13696936532108</v>
      </c>
      <c r="M176" s="155">
        <f>'a（自動）計算用'!L63</f>
        <v>0</v>
      </c>
      <c r="N176" s="155">
        <f t="shared" si="133"/>
        <v>613.00436555367423</v>
      </c>
      <c r="O176" s="26">
        <f t="shared" si="94"/>
        <v>24.758924967649023</v>
      </c>
      <c r="P176" s="26">
        <f t="shared" si="134"/>
        <v>12.429763862692472</v>
      </c>
      <c r="Q176" s="26">
        <f t="shared" si="95"/>
        <v>70.004304102430183</v>
      </c>
      <c r="R176" s="26">
        <f t="shared" si="96"/>
        <v>38.131654292828927</v>
      </c>
      <c r="S176" s="26">
        <f t="shared" si="135"/>
        <v>37.523587671548988</v>
      </c>
      <c r="T176" s="27">
        <f t="shared" si="136"/>
        <v>870.13696936532108</v>
      </c>
      <c r="U176" s="27">
        <f t="shared" si="137"/>
        <v>0</v>
      </c>
      <c r="V176" s="27">
        <f t="shared" si="138"/>
        <v>1538.9607813736818</v>
      </c>
      <c r="W176" s="27">
        <f t="shared" si="139"/>
        <v>1208.2641953551683</v>
      </c>
      <c r="X176" s="15">
        <f t="shared" si="140"/>
        <v>0.72015455949974994</v>
      </c>
      <c r="Y176" s="15">
        <f t="shared" si="97"/>
        <v>0.72015455949974994</v>
      </c>
    </row>
    <row r="177" spans="1:25">
      <c r="A177" s="14">
        <f>'a（自動）計算用'!D64</f>
        <v>69</v>
      </c>
      <c r="B177" s="156">
        <f>'a（自動）計算用'!F64</f>
        <v>613.00436555367423</v>
      </c>
      <c r="C177" s="156"/>
      <c r="D177" s="26">
        <f>'a（自動）計算用'!G64</f>
        <v>29.038053484283193</v>
      </c>
      <c r="E177" s="26">
        <f t="shared" si="91"/>
        <v>24.758924967649023</v>
      </c>
      <c r="F177" s="26">
        <f t="shared" si="128"/>
        <v>12.492138286257735</v>
      </c>
      <c r="G177" s="26">
        <f t="shared" si="129"/>
        <v>70.39001761258794</v>
      </c>
      <c r="H177" s="26">
        <f t="shared" si="92"/>
        <v>38.236559915759535</v>
      </c>
      <c r="I177" s="26">
        <f t="shared" si="130"/>
        <v>37.624699985432009</v>
      </c>
      <c r="J177" s="27">
        <f t="shared" ref="J177:K177" si="167">J61</f>
        <v>0.54086284321387001</v>
      </c>
      <c r="K177" s="155">
        <f t="shared" si="167"/>
        <v>1715.3699724518976</v>
      </c>
      <c r="L177" s="27">
        <f t="shared" si="132"/>
        <v>879.32183398856603</v>
      </c>
      <c r="M177" s="155">
        <f>'a（自動）計算用'!L64</f>
        <v>0</v>
      </c>
      <c r="N177" s="155">
        <f t="shared" si="133"/>
        <v>613.00436555367423</v>
      </c>
      <c r="O177" s="26">
        <f t="shared" si="94"/>
        <v>24.758924967649023</v>
      </c>
      <c r="P177" s="26">
        <f t="shared" si="134"/>
        <v>12.492138286257735</v>
      </c>
      <c r="Q177" s="26">
        <f t="shared" si="95"/>
        <v>70.39001761258794</v>
      </c>
      <c r="R177" s="26">
        <f t="shared" si="96"/>
        <v>38.236559915759535</v>
      </c>
      <c r="S177" s="26">
        <f t="shared" si="135"/>
        <v>37.624699985432009</v>
      </c>
      <c r="T177" s="27">
        <f t="shared" si="136"/>
        <v>879.32183398856603</v>
      </c>
      <c r="U177" s="27">
        <f t="shared" si="137"/>
        <v>0</v>
      </c>
      <c r="V177" s="27">
        <f t="shared" si="138"/>
        <v>1527.7361485030772</v>
      </c>
      <c r="W177" s="27">
        <f t="shared" si="139"/>
        <v>1216.876100587144</v>
      </c>
      <c r="X177" s="15">
        <f t="shared" si="140"/>
        <v>0.72260588696276662</v>
      </c>
      <c r="Y177" s="15">
        <f t="shared" si="97"/>
        <v>0.72260588696276662</v>
      </c>
    </row>
    <row r="178" spans="1:25">
      <c r="A178" s="14">
        <f>'a（自動）計算用'!D65</f>
        <v>70</v>
      </c>
      <c r="B178" s="156">
        <f>'a（自動）計算用'!F65</f>
        <v>613.00436555367423</v>
      </c>
      <c r="C178" s="156"/>
      <c r="D178" s="26">
        <f>'a（自動）計算用'!G65</f>
        <v>29.191199120888513</v>
      </c>
      <c r="E178" s="26">
        <f t="shared" si="91"/>
        <v>24.758924967649023</v>
      </c>
      <c r="F178" s="26">
        <f t="shared" si="128"/>
        <v>12.552842667680636</v>
      </c>
      <c r="G178" s="26">
        <f t="shared" si="129"/>
        <v>70.764384002135159</v>
      </c>
      <c r="H178" s="26">
        <f t="shared" si="92"/>
        <v>38.338104858268082</v>
      </c>
      <c r="I178" s="26">
        <f t="shared" si="130"/>
        <v>37.722557127258767</v>
      </c>
      <c r="J178" s="27">
        <f t="shared" ref="J178:K178" si="168">J62</f>
        <v>0.54526678772441417</v>
      </c>
      <c r="K178" s="155">
        <f t="shared" si="168"/>
        <v>1710.997480917549</v>
      </c>
      <c r="L178" s="27">
        <f t="shared" si="132"/>
        <v>888.29417885413932</v>
      </c>
      <c r="M178" s="155">
        <f>'a（自動）計算用'!L65</f>
        <v>0</v>
      </c>
      <c r="N178" s="155">
        <f t="shared" si="133"/>
        <v>613.00436555367423</v>
      </c>
      <c r="O178" s="26">
        <f t="shared" si="94"/>
        <v>24.758924967649023</v>
      </c>
      <c r="P178" s="26">
        <f t="shared" si="134"/>
        <v>12.552842667680636</v>
      </c>
      <c r="Q178" s="26">
        <f t="shared" si="95"/>
        <v>70.764384002135159</v>
      </c>
      <c r="R178" s="26">
        <f t="shared" si="96"/>
        <v>38.338104858268082</v>
      </c>
      <c r="S178" s="26">
        <f t="shared" si="135"/>
        <v>37.722557127258767</v>
      </c>
      <c r="T178" s="27">
        <f t="shared" si="136"/>
        <v>888.29417885413932</v>
      </c>
      <c r="U178" s="27">
        <f t="shared" si="137"/>
        <v>0</v>
      </c>
      <c r="V178" s="27">
        <f t="shared" si="138"/>
        <v>1516.94829418013</v>
      </c>
      <c r="W178" s="27">
        <f t="shared" si="139"/>
        <v>1225.2711976190694</v>
      </c>
      <c r="X178" s="15">
        <f t="shared" si="140"/>
        <v>0.72497760543156542</v>
      </c>
      <c r="Y178" s="15">
        <f t="shared" si="97"/>
        <v>0.72497760543156542</v>
      </c>
    </row>
    <row r="179" spans="1:25">
      <c r="A179" s="14">
        <f>'a（自動）計算用'!D66</f>
        <v>71</v>
      </c>
      <c r="B179" s="156">
        <f>'a（自動）計算用'!F66</f>
        <v>613.00436555367423</v>
      </c>
      <c r="C179" s="156"/>
      <c r="D179" s="26">
        <f>'a（自動）計算用'!G66</f>
        <v>29.340246185992296</v>
      </c>
      <c r="E179" s="26">
        <f t="shared" si="91"/>
        <v>24.758924967649023</v>
      </c>
      <c r="F179" s="26">
        <f t="shared" si="128"/>
        <v>12.611922443576189</v>
      </c>
      <c r="G179" s="26">
        <f t="shared" si="129"/>
        <v>71.127766237774807</v>
      </c>
      <c r="H179" s="26">
        <f t="shared" si="92"/>
        <v>38.436413827216633</v>
      </c>
      <c r="I179" s="26">
        <f t="shared" si="130"/>
        <v>37.817280695524111</v>
      </c>
      <c r="J179" s="27">
        <f t="shared" ref="J179:K179" si="169">J63</f>
        <v>0.5495611325775035</v>
      </c>
      <c r="K179" s="155">
        <f t="shared" si="169"/>
        <v>1706.7552188653935</v>
      </c>
      <c r="L179" s="27">
        <f t="shared" si="132"/>
        <v>897.05787137563289</v>
      </c>
      <c r="M179" s="155">
        <f>'a（自動）計算用'!L66</f>
        <v>0</v>
      </c>
      <c r="N179" s="155">
        <f t="shared" si="133"/>
        <v>613.00436555367423</v>
      </c>
      <c r="O179" s="26">
        <f t="shared" si="94"/>
        <v>24.758924967649023</v>
      </c>
      <c r="P179" s="26">
        <f t="shared" si="134"/>
        <v>12.611922443576189</v>
      </c>
      <c r="Q179" s="26">
        <f t="shared" si="95"/>
        <v>71.127766237774807</v>
      </c>
      <c r="R179" s="26">
        <f t="shared" si="96"/>
        <v>38.436413827216633</v>
      </c>
      <c r="S179" s="26">
        <f t="shared" si="135"/>
        <v>37.817280695524111</v>
      </c>
      <c r="T179" s="27">
        <f t="shared" si="136"/>
        <v>897.05787137563289</v>
      </c>
      <c r="U179" s="27">
        <f t="shared" si="137"/>
        <v>0</v>
      </c>
      <c r="V179" s="27">
        <f t="shared" si="138"/>
        <v>1506.5759466438217</v>
      </c>
      <c r="W179" s="27">
        <f t="shared" si="139"/>
        <v>1233.454616454788</v>
      </c>
      <c r="X179" s="15">
        <f t="shared" si="140"/>
        <v>0.72727270173423064</v>
      </c>
      <c r="Y179" s="15">
        <f t="shared" si="97"/>
        <v>0.72727270173423064</v>
      </c>
    </row>
    <row r="180" spans="1:25">
      <c r="A180" s="14">
        <f>'a（自動）計算用'!D67</f>
        <v>72</v>
      </c>
      <c r="B180" s="156">
        <f>'a（自動）計算用'!F67</f>
        <v>613.00436555367423</v>
      </c>
      <c r="C180" s="156"/>
      <c r="D180" s="26">
        <f>'a（自動）計算用'!G67</f>
        <v>29.485306109807635</v>
      </c>
      <c r="E180" s="26">
        <f t="shared" si="91"/>
        <v>24.758924967649023</v>
      </c>
      <c r="F180" s="26">
        <f t="shared" si="128"/>
        <v>12.669421783026241</v>
      </c>
      <c r="G180" s="26">
        <f t="shared" si="129"/>
        <v>71.480514325981275</v>
      </c>
      <c r="H180" s="26">
        <f t="shared" si="92"/>
        <v>38.531605927014283</v>
      </c>
      <c r="I180" s="26">
        <f t="shared" si="130"/>
        <v>37.908986788160831</v>
      </c>
      <c r="J180" s="27">
        <f t="shared" ref="J180:K180" si="170">J64</f>
        <v>0.55374838505996471</v>
      </c>
      <c r="K180" s="155">
        <f t="shared" si="170"/>
        <v>1702.6389577182183</v>
      </c>
      <c r="L180" s="27">
        <f t="shared" si="132"/>
        <v>905.61678526350647</v>
      </c>
      <c r="M180" s="155">
        <f>'a（自動）計算用'!L67</f>
        <v>0</v>
      </c>
      <c r="N180" s="155">
        <f t="shared" si="133"/>
        <v>613.00436555367423</v>
      </c>
      <c r="O180" s="26">
        <f t="shared" si="94"/>
        <v>24.758924967649023</v>
      </c>
      <c r="P180" s="26">
        <f t="shared" si="134"/>
        <v>12.669421783026241</v>
      </c>
      <c r="Q180" s="26">
        <f t="shared" si="95"/>
        <v>71.480514325981275</v>
      </c>
      <c r="R180" s="26">
        <f t="shared" si="96"/>
        <v>38.531605927014283</v>
      </c>
      <c r="S180" s="26">
        <f t="shared" si="135"/>
        <v>37.908986788160831</v>
      </c>
      <c r="T180" s="27">
        <f t="shared" si="136"/>
        <v>905.61678526350647</v>
      </c>
      <c r="U180" s="27">
        <f t="shared" si="137"/>
        <v>0</v>
      </c>
      <c r="V180" s="27">
        <f t="shared" si="138"/>
        <v>1496.5991399805368</v>
      </c>
      <c r="W180" s="27">
        <f t="shared" si="139"/>
        <v>1241.4313883085092</v>
      </c>
      <c r="X180" s="15">
        <f t="shared" si="140"/>
        <v>0.72949402906385252</v>
      </c>
      <c r="Y180" s="15">
        <f t="shared" si="97"/>
        <v>0.72949402906385252</v>
      </c>
    </row>
    <row r="181" spans="1:25">
      <c r="A181" s="14">
        <f>'a（自動）計算用'!D68</f>
        <v>73</v>
      </c>
      <c r="B181" s="156">
        <f>'a（自動）計算用'!F68</f>
        <v>613.00436555367423</v>
      </c>
      <c r="C181" s="156"/>
      <c r="D181" s="26">
        <f>'a（自動）計算用'!G68</f>
        <v>29.62648721020097</v>
      </c>
      <c r="E181" s="26">
        <f t="shared" si="91"/>
        <v>24.758924967649023</v>
      </c>
      <c r="F181" s="26">
        <f t="shared" si="128"/>
        <v>12.725383621430222</v>
      </c>
      <c r="G181" s="26">
        <f t="shared" si="129"/>
        <v>71.822965809396592</v>
      </c>
      <c r="H181" s="26">
        <f t="shared" si="92"/>
        <v>38.623794962426508</v>
      </c>
      <c r="I181" s="26">
        <f t="shared" si="130"/>
        <v>37.997786301533026</v>
      </c>
      <c r="J181" s="27">
        <f t="shared" ref="J181:K181" si="171">J65</f>
        <v>0.55783101065299667</v>
      </c>
      <c r="K181" s="155">
        <f t="shared" si="171"/>
        <v>1698.644621542132</v>
      </c>
      <c r="L181" s="27">
        <f t="shared" si="132"/>
        <v>913.97479275343824</v>
      </c>
      <c r="M181" s="155">
        <f>'a（自動）計算用'!L68</f>
        <v>0</v>
      </c>
      <c r="N181" s="155">
        <f t="shared" si="133"/>
        <v>613.00436555367423</v>
      </c>
      <c r="O181" s="26">
        <f t="shared" si="94"/>
        <v>24.758924967649023</v>
      </c>
      <c r="P181" s="26">
        <f t="shared" si="134"/>
        <v>12.725383621430222</v>
      </c>
      <c r="Q181" s="26">
        <f t="shared" si="95"/>
        <v>71.822965809396592</v>
      </c>
      <c r="R181" s="26">
        <f t="shared" si="96"/>
        <v>38.623794962426508</v>
      </c>
      <c r="S181" s="26">
        <f t="shared" si="135"/>
        <v>37.997786301533026</v>
      </c>
      <c r="T181" s="27">
        <f t="shared" si="136"/>
        <v>913.97479275343824</v>
      </c>
      <c r="U181" s="27">
        <f t="shared" si="137"/>
        <v>0</v>
      </c>
      <c r="V181" s="27">
        <f t="shared" si="138"/>
        <v>1486.999116646497</v>
      </c>
      <c r="W181" s="27">
        <f t="shared" si="139"/>
        <v>1249.2064453935645</v>
      </c>
      <c r="X181" s="15">
        <f t="shared" si="140"/>
        <v>0.73164431397525254</v>
      </c>
      <c r="Y181" s="15">
        <f t="shared" si="97"/>
        <v>0.73164431397525254</v>
      </c>
    </row>
    <row r="182" spans="1:25">
      <c r="A182" s="14">
        <f>'a（自動）計算用'!D69</f>
        <v>74</v>
      </c>
      <c r="B182" s="156">
        <f>'a（自動）計算用'!F69</f>
        <v>613.00436555367423</v>
      </c>
      <c r="C182" s="156"/>
      <c r="D182" s="26">
        <f>'a（自動）計算用'!G69</f>
        <v>29.763894777407348</v>
      </c>
      <c r="E182" s="26">
        <f t="shared" si="91"/>
        <v>24.758924967649023</v>
      </c>
      <c r="F182" s="26">
        <f t="shared" ref="F182:F213" si="172">$AB$11+$AB$12*D182+$AB$13*E182*D182/100</f>
        <v>12.779849694084877</v>
      </c>
      <c r="G182" s="26">
        <f t="shared" ref="G182:G213" si="173">L182/F182</f>
        <v>72.155446247713414</v>
      </c>
      <c r="H182" s="26">
        <f t="shared" si="92"/>
        <v>38.713089722766156</v>
      </c>
      <c r="I182" s="26">
        <f t="shared" ref="I182:I213" si="174">$AB$15+$AB$16*H182+$AB$17*E182*D182/100</f>
        <v>38.083785210957402</v>
      </c>
      <c r="J182" s="27">
        <f t="shared" ref="J182:K182" si="175">J66</f>
        <v>0.56181143228379438</v>
      </c>
      <c r="K182" s="155">
        <f t="shared" si="175"/>
        <v>1694.7682812207734</v>
      </c>
      <c r="L182" s="27">
        <f t="shared" ref="L182:L213" si="176">($AB$2*D182^$AB$3+$AB$4*D182^$AB$5/B182)^-1</f>
        <v>922.13575765539815</v>
      </c>
      <c r="M182" s="155">
        <f>'a（自動）計算用'!L69</f>
        <v>0</v>
      </c>
      <c r="N182" s="155">
        <f t="shared" ref="N182:N213" si="177">B182-M182</f>
        <v>613.00436555367423</v>
      </c>
      <c r="O182" s="26">
        <f t="shared" si="94"/>
        <v>24.758924967649023</v>
      </c>
      <c r="P182" s="26">
        <f t="shared" ref="P182:P213" si="178">$AB$11+$AB$12*D182+$AB$13*O182*D182/100</f>
        <v>12.779849694084877</v>
      </c>
      <c r="Q182" s="26">
        <f t="shared" si="95"/>
        <v>72.155446247713414</v>
      </c>
      <c r="R182" s="26">
        <f t="shared" si="96"/>
        <v>38.713089722766156</v>
      </c>
      <c r="S182" s="26">
        <f t="shared" ref="S182:S213" si="179">$AB$15+$AB$16*R182+$AB$17*O182*D182/100</f>
        <v>38.083785210957402</v>
      </c>
      <c r="T182" s="27">
        <f t="shared" ref="T182:T213" si="180">($AB$2*D182^$AB$3+$AB$4*D182^$AB$5/N182)^-1</f>
        <v>922.13575765539815</v>
      </c>
      <c r="U182" s="27">
        <f t="shared" ref="U182:U213" si="181">L182-T182</f>
        <v>0</v>
      </c>
      <c r="V182" s="27">
        <f t="shared" ref="V182:V213" si="182">$AB$22*D182^$AB$21</f>
        <v>1477.7582384683042</v>
      </c>
      <c r="W182" s="27">
        <f t="shared" ref="W182:W213" si="183">($AB$2*D182^$AB$3+$AB$4*D182^$AB$5/V182)^-1</f>
        <v>1256.7846209923464</v>
      </c>
      <c r="X182" s="15">
        <f t="shared" ref="X182:X213" si="184">L182/W182</f>
        <v>0.73372616298191784</v>
      </c>
      <c r="Y182" s="15">
        <f t="shared" si="97"/>
        <v>0.73372616298191784</v>
      </c>
    </row>
    <row r="183" spans="1:25">
      <c r="A183" s="14">
        <f>'a（自動）計算用'!D70</f>
        <v>75</v>
      </c>
      <c r="B183" s="156">
        <f>'a（自動）計算用'!F70</f>
        <v>613.00436555367423</v>
      </c>
      <c r="C183" s="156"/>
      <c r="D183" s="26">
        <f>'a（自動）計算用'!G70</f>
        <v>29.897631157755349</v>
      </c>
      <c r="E183" s="26">
        <f t="shared" ref="E183:E228" si="185">SQRT(B183)</f>
        <v>24.758924967649023</v>
      </c>
      <c r="F183" s="26">
        <f t="shared" si="172"/>
        <v>12.832860569371425</v>
      </c>
      <c r="G183" s="26">
        <f t="shared" si="173"/>
        <v>72.478269682617125</v>
      </c>
      <c r="H183" s="26">
        <f t="shared" ref="H183:H228" si="186">200*SQRT(G183/(PI()*B183))</f>
        <v>38.799594248673245</v>
      </c>
      <c r="I183" s="26">
        <f t="shared" si="174"/>
        <v>38.167084833956942</v>
      </c>
      <c r="J183" s="27">
        <f t="shared" ref="J183:K183" si="187">J67</f>
        <v>0.56569202976988664</v>
      </c>
      <c r="K183" s="155">
        <f t="shared" si="187"/>
        <v>1691.0061488037268</v>
      </c>
      <c r="L183" s="27">
        <f t="shared" si="176"/>
        <v>930.10352914632563</v>
      </c>
      <c r="M183" s="155">
        <f>'a（自動）計算用'!L70</f>
        <v>0</v>
      </c>
      <c r="N183" s="155">
        <f t="shared" si="177"/>
        <v>613.00436555367423</v>
      </c>
      <c r="O183" s="26">
        <f t="shared" ref="O183:O228" si="188">SQRT(N183)</f>
        <v>24.758924967649023</v>
      </c>
      <c r="P183" s="26">
        <f t="shared" si="178"/>
        <v>12.832860569371425</v>
      </c>
      <c r="Q183" s="26">
        <f t="shared" ref="Q183:Q228" si="189">T183/P183</f>
        <v>72.478269682617125</v>
      </c>
      <c r="R183" s="26">
        <f t="shared" ref="R183:R228" si="190">200*SQRT(Q183/(PI()*N183))</f>
        <v>38.799594248673245</v>
      </c>
      <c r="S183" s="26">
        <f t="shared" si="179"/>
        <v>38.167084833956942</v>
      </c>
      <c r="T183" s="27">
        <f t="shared" si="180"/>
        <v>930.10352914632563</v>
      </c>
      <c r="U183" s="27">
        <f t="shared" si="181"/>
        <v>0</v>
      </c>
      <c r="V183" s="27">
        <f t="shared" si="182"/>
        <v>1468.8599052881327</v>
      </c>
      <c r="W183" s="27">
        <f t="shared" si="183"/>
        <v>1264.1706497694261</v>
      </c>
      <c r="X183" s="15">
        <f t="shared" si="184"/>
        <v>0.73574206877526271</v>
      </c>
      <c r="Y183" s="15">
        <f t="shared" ref="Y183:Y228" si="191">T183/W183</f>
        <v>0.73574206877526271</v>
      </c>
    </row>
    <row r="184" spans="1:25">
      <c r="A184" s="14">
        <f>'a（自動）計算用'!D71</f>
        <v>76</v>
      </c>
      <c r="B184" s="156">
        <f>'a（自動）計算用'!F71</f>
        <v>613.00436555367423</v>
      </c>
      <c r="C184" s="156"/>
      <c r="D184" s="26">
        <f>'a（自動）計算用'!G71</f>
        <v>30.027795836151071</v>
      </c>
      <c r="E184" s="26">
        <f t="shared" si="185"/>
        <v>24.758924967649023</v>
      </c>
      <c r="F184" s="26">
        <f t="shared" si="172"/>
        <v>12.884455681450829</v>
      </c>
      <c r="G184" s="26">
        <f t="shared" si="173"/>
        <v>72.791739086555225</v>
      </c>
      <c r="H184" s="26">
        <f t="shared" si="186"/>
        <v>38.883408082615318</v>
      </c>
      <c r="I184" s="26">
        <f t="shared" si="174"/>
        <v>38.247782077375518</v>
      </c>
      <c r="J184" s="27">
        <f t="shared" ref="J184:K184" si="192">J68</f>
        <v>0.56947513943268291</v>
      </c>
      <c r="K184" s="155">
        <f t="shared" si="192"/>
        <v>1687.3545720354739</v>
      </c>
      <c r="L184" s="27">
        <f t="shared" si="176"/>
        <v>937.88193623645282</v>
      </c>
      <c r="M184" s="155">
        <f>'a（自動）計算用'!L71</f>
        <v>0</v>
      </c>
      <c r="N184" s="155">
        <f t="shared" si="177"/>
        <v>613.00436555367423</v>
      </c>
      <c r="O184" s="26">
        <f t="shared" si="188"/>
        <v>24.758924967649023</v>
      </c>
      <c r="P184" s="26">
        <f t="shared" si="178"/>
        <v>12.884455681450829</v>
      </c>
      <c r="Q184" s="26">
        <f t="shared" si="189"/>
        <v>72.791739086555225</v>
      </c>
      <c r="R184" s="26">
        <f t="shared" si="190"/>
        <v>38.883408082615318</v>
      </c>
      <c r="S184" s="26">
        <f t="shared" si="179"/>
        <v>38.247782077375518</v>
      </c>
      <c r="T184" s="27">
        <f t="shared" si="180"/>
        <v>937.88193623645282</v>
      </c>
      <c r="U184" s="27">
        <f t="shared" si="181"/>
        <v>0</v>
      </c>
      <c r="V184" s="27">
        <f t="shared" si="182"/>
        <v>1460.2884805110361</v>
      </c>
      <c r="W184" s="27">
        <f t="shared" si="183"/>
        <v>1271.3691682942399</v>
      </c>
      <c r="X184" s="15">
        <f t="shared" si="184"/>
        <v>0.73769441608748665</v>
      </c>
      <c r="Y184" s="15">
        <f t="shared" si="191"/>
        <v>0.73769441608748665</v>
      </c>
    </row>
    <row r="185" spans="1:25">
      <c r="A185" s="14">
        <f>'a（自動）計算用'!D72</f>
        <v>77</v>
      </c>
      <c r="B185" s="156">
        <f>'a（自動）計算用'!F72</f>
        <v>613.00436555367423</v>
      </c>
      <c r="C185" s="156"/>
      <c r="D185" s="26">
        <f>'a（自動）計算用'!G72</f>
        <v>30.154485517118435</v>
      </c>
      <c r="E185" s="26">
        <f t="shared" si="185"/>
        <v>24.758924967649023</v>
      </c>
      <c r="F185" s="26">
        <f t="shared" si="172"/>
        <v>12.934673362386841</v>
      </c>
      <c r="G185" s="26">
        <f t="shared" si="173"/>
        <v>73.096146795265071</v>
      </c>
      <c r="H185" s="26">
        <f t="shared" si="186"/>
        <v>38.964626504168251</v>
      </c>
      <c r="I185" s="26">
        <f t="shared" si="174"/>
        <v>38.325969669409659</v>
      </c>
      <c r="J185" s="27">
        <f t="shared" ref="J185:K185" si="193">J69</f>
        <v>0.57316305385938071</v>
      </c>
      <c r="K185" s="155">
        <f t="shared" si="193"/>
        <v>1683.8100290687141</v>
      </c>
      <c r="L185" s="27">
        <f t="shared" si="176"/>
        <v>945.47478284583337</v>
      </c>
      <c r="M185" s="155">
        <f>'a（自動）計算用'!L72</f>
        <v>0</v>
      </c>
      <c r="N185" s="155">
        <f t="shared" si="177"/>
        <v>613.00436555367423</v>
      </c>
      <c r="O185" s="26">
        <f t="shared" si="188"/>
        <v>24.758924967649023</v>
      </c>
      <c r="P185" s="26">
        <f t="shared" si="178"/>
        <v>12.934673362386841</v>
      </c>
      <c r="Q185" s="26">
        <f t="shared" si="189"/>
        <v>73.096146795265071</v>
      </c>
      <c r="R185" s="26">
        <f t="shared" si="190"/>
        <v>38.964626504168251</v>
      </c>
      <c r="S185" s="26">
        <f t="shared" si="179"/>
        <v>38.325969669409659</v>
      </c>
      <c r="T185" s="27">
        <f t="shared" si="180"/>
        <v>945.47478284583337</v>
      </c>
      <c r="U185" s="27">
        <f t="shared" si="181"/>
        <v>0</v>
      </c>
      <c r="V185" s="27">
        <f t="shared" si="182"/>
        <v>1452.0292228919002</v>
      </c>
      <c r="W185" s="27">
        <f t="shared" si="183"/>
        <v>1278.384715743689</v>
      </c>
      <c r="X185" s="15">
        <f t="shared" si="184"/>
        <v>0.73958548721838546</v>
      </c>
      <c r="Y185" s="15">
        <f t="shared" si="191"/>
        <v>0.73958548721838546</v>
      </c>
    </row>
    <row r="186" spans="1:25">
      <c r="A186" s="14">
        <f>'a（自動）計算用'!D73</f>
        <v>78</v>
      </c>
      <c r="B186" s="156">
        <f>'a（自動）計算用'!F73</f>
        <v>613.00436555367423</v>
      </c>
      <c r="C186" s="156"/>
      <c r="D186" s="26">
        <f>'a（自動）計算用'!G73</f>
        <v>30.277794204235548</v>
      </c>
      <c r="E186" s="26">
        <f t="shared" si="185"/>
        <v>24.758924967649023</v>
      </c>
      <c r="F186" s="26">
        <f t="shared" si="172"/>
        <v>12.983550873633245</v>
      </c>
      <c r="G186" s="26">
        <f t="shared" si="173"/>
        <v>73.3917749241255</v>
      </c>
      <c r="H186" s="26">
        <f t="shared" si="186"/>
        <v>39.043340751070055</v>
      </c>
      <c r="I186" s="26">
        <f t="shared" si="174"/>
        <v>38.401736377546001</v>
      </c>
      <c r="J186" s="27">
        <f t="shared" ref="J186:K186" si="194">J70</f>
        <v>0.57675802179473445</v>
      </c>
      <c r="K186" s="155">
        <f t="shared" si="194"/>
        <v>1680.3691233638381</v>
      </c>
      <c r="L186" s="27">
        <f t="shared" si="176"/>
        <v>952.88584343362413</v>
      </c>
      <c r="M186" s="155">
        <f>'a（自動）計算用'!L73</f>
        <v>0</v>
      </c>
      <c r="N186" s="155">
        <f t="shared" si="177"/>
        <v>613.00436555367423</v>
      </c>
      <c r="O186" s="26">
        <f t="shared" si="188"/>
        <v>24.758924967649023</v>
      </c>
      <c r="P186" s="26">
        <f t="shared" si="178"/>
        <v>12.983550873633245</v>
      </c>
      <c r="Q186" s="26">
        <f t="shared" si="189"/>
        <v>73.3917749241255</v>
      </c>
      <c r="R186" s="26">
        <f t="shared" si="190"/>
        <v>39.043340751070055</v>
      </c>
      <c r="S186" s="26">
        <f t="shared" si="179"/>
        <v>38.401736377546001</v>
      </c>
      <c r="T186" s="27">
        <f t="shared" si="180"/>
        <v>952.88584343362413</v>
      </c>
      <c r="U186" s="27">
        <f t="shared" si="181"/>
        <v>0</v>
      </c>
      <c r="V186" s="27">
        <f t="shared" si="182"/>
        <v>1444.0682239701152</v>
      </c>
      <c r="W186" s="27">
        <f t="shared" si="183"/>
        <v>1285.2217347585251</v>
      </c>
      <c r="X186" s="15">
        <f t="shared" si="184"/>
        <v>0.74141746724557056</v>
      </c>
      <c r="Y186" s="15">
        <f t="shared" si="191"/>
        <v>0.74141746724557056</v>
      </c>
    </row>
    <row r="187" spans="1:25">
      <c r="A187" s="14">
        <f>'a（自動）計算用'!D74</f>
        <v>79</v>
      </c>
      <c r="B187" s="156">
        <f>'a（自動）計算用'!F74</f>
        <v>613.00436555367423</v>
      </c>
      <c r="C187" s="156"/>
      <c r="D187" s="26">
        <f>'a（自動）計算用'!G74</f>
        <v>30.397813277842882</v>
      </c>
      <c r="E187" s="26">
        <f t="shared" si="185"/>
        <v>24.758924967649023</v>
      </c>
      <c r="F187" s="26">
        <f t="shared" si="172"/>
        <v>13.031124436836091</v>
      </c>
      <c r="G187" s="26">
        <f t="shared" si="173"/>
        <v>73.678895768504603</v>
      </c>
      <c r="H187" s="26">
        <f t="shared" si="186"/>
        <v>39.119638226975432</v>
      </c>
      <c r="I187" s="26">
        <f t="shared" si="174"/>
        <v>38.475167213327971</v>
      </c>
      <c r="J187" s="27">
        <f t="shared" ref="J187:K187" si="195">J71</f>
        <v>0.58026224814629723</v>
      </c>
      <c r="K187" s="155">
        <f t="shared" si="195"/>
        <v>1677.0285787746329</v>
      </c>
      <c r="L187" s="27">
        <f t="shared" si="176"/>
        <v>960.11885912805951</v>
      </c>
      <c r="M187" s="155">
        <f>'a（自動）計算用'!L74</f>
        <v>0</v>
      </c>
      <c r="N187" s="155">
        <f t="shared" si="177"/>
        <v>613.00436555367423</v>
      </c>
      <c r="O187" s="26">
        <f t="shared" si="188"/>
        <v>24.758924967649023</v>
      </c>
      <c r="P187" s="26">
        <f t="shared" si="178"/>
        <v>13.031124436836091</v>
      </c>
      <c r="Q187" s="26">
        <f t="shared" si="189"/>
        <v>73.678895768504603</v>
      </c>
      <c r="R187" s="26">
        <f t="shared" si="190"/>
        <v>39.119638226975432</v>
      </c>
      <c r="S187" s="26">
        <f t="shared" si="179"/>
        <v>38.475167213327971</v>
      </c>
      <c r="T187" s="27">
        <f t="shared" si="180"/>
        <v>960.11885912805951</v>
      </c>
      <c r="U187" s="27">
        <f t="shared" si="181"/>
        <v>0</v>
      </c>
      <c r="V187" s="27">
        <f t="shared" si="182"/>
        <v>1436.3923506223841</v>
      </c>
      <c r="W187" s="27">
        <f t="shared" si="183"/>
        <v>1291.8845724305233</v>
      </c>
      <c r="X187" s="15">
        <f t="shared" si="184"/>
        <v>0.74319244893660497</v>
      </c>
      <c r="Y187" s="15">
        <f t="shared" si="191"/>
        <v>0.74319244893660497</v>
      </c>
    </row>
    <row r="188" spans="1:25">
      <c r="A188" s="14">
        <f>'a（自動）計算用'!D75</f>
        <v>80</v>
      </c>
      <c r="B188" s="156">
        <f>'a（自動）計算用'!F75</f>
        <v>613.00436555367423</v>
      </c>
      <c r="C188" s="156"/>
      <c r="D188" s="26">
        <f>'a（自動）計算用'!G75</f>
        <v>30.514631570930302</v>
      </c>
      <c r="E188" s="26">
        <f t="shared" si="185"/>
        <v>24.758924967649023</v>
      </c>
      <c r="F188" s="26">
        <f t="shared" si="172"/>
        <v>13.077429263914031</v>
      </c>
      <c r="G188" s="26">
        <f t="shared" si="173"/>
        <v>73.957772188367656</v>
      </c>
      <c r="H188" s="26">
        <f t="shared" si="186"/>
        <v>39.193602696779749</v>
      </c>
      <c r="I188" s="26">
        <f t="shared" si="174"/>
        <v>38.546343624815997</v>
      </c>
      <c r="J188" s="27">
        <f t="shared" ref="J188:K188" si="196">J72</f>
        <v>0.58367789408864001</v>
      </c>
      <c r="K188" s="155">
        <f t="shared" si="196"/>
        <v>1673.7852348188915</v>
      </c>
      <c r="L188" s="27">
        <f t="shared" si="176"/>
        <v>967.17753431004644</v>
      </c>
      <c r="M188" s="155">
        <f>'a（自動）計算用'!L75</f>
        <v>0</v>
      </c>
      <c r="N188" s="155">
        <f t="shared" si="177"/>
        <v>613.00436555367423</v>
      </c>
      <c r="O188" s="26">
        <f t="shared" si="188"/>
        <v>24.758924967649023</v>
      </c>
      <c r="P188" s="26">
        <f t="shared" si="178"/>
        <v>13.077429263914031</v>
      </c>
      <c r="Q188" s="26">
        <f t="shared" si="189"/>
        <v>73.957772188367656</v>
      </c>
      <c r="R188" s="26">
        <f t="shared" si="190"/>
        <v>39.193602696779749</v>
      </c>
      <c r="S188" s="26">
        <f t="shared" si="179"/>
        <v>38.546343624815997</v>
      </c>
      <c r="T188" s="27">
        <f t="shared" si="180"/>
        <v>967.17753431004644</v>
      </c>
      <c r="U188" s="27">
        <f t="shared" si="181"/>
        <v>0</v>
      </c>
      <c r="V188" s="27">
        <f t="shared" si="182"/>
        <v>1428.9891922591562</v>
      </c>
      <c r="W188" s="27">
        <f t="shared" si="183"/>
        <v>1298.3774814002891</v>
      </c>
      <c r="X188" s="15">
        <f t="shared" si="184"/>
        <v>0.74491243738065582</v>
      </c>
      <c r="Y188" s="15">
        <f t="shared" si="191"/>
        <v>0.74491243738065582</v>
      </c>
    </row>
    <row r="189" spans="1:25">
      <c r="A189" s="14">
        <f>'a（自動）計算用'!D76</f>
        <v>81</v>
      </c>
      <c r="B189" s="156">
        <f>'a（自動）計算用'!F76</f>
        <v>613.00436555367423</v>
      </c>
      <c r="C189" s="156"/>
      <c r="D189" s="26">
        <f>'a（自動）計算用'!G76</f>
        <v>30.628335443136372</v>
      </c>
      <c r="E189" s="26">
        <f t="shared" si="185"/>
        <v>24.758924967649023</v>
      </c>
      <c r="F189" s="26">
        <f t="shared" si="172"/>
        <v>13.12249958639045</v>
      </c>
      <c r="G189" s="26">
        <f t="shared" si="173"/>
        <v>74.228657977472494</v>
      </c>
      <c r="H189" s="26">
        <f t="shared" si="186"/>
        <v>39.265314470322394</v>
      </c>
      <c r="I189" s="26">
        <f t="shared" si="174"/>
        <v>38.615343677546612</v>
      </c>
      <c r="J189" s="27">
        <f t="shared" ref="J189:K189" si="197">J73</f>
        <v>0.58700707725369594</v>
      </c>
      <c r="K189" s="155">
        <f t="shared" si="197"/>
        <v>1670.6360421315167</v>
      </c>
      <c r="L189" s="27">
        <f t="shared" si="176"/>
        <v>974.06553360770101</v>
      </c>
      <c r="M189" s="155">
        <f>'a（自動）計算用'!L76</f>
        <v>0</v>
      </c>
      <c r="N189" s="155">
        <f t="shared" si="177"/>
        <v>613.00436555367423</v>
      </c>
      <c r="O189" s="26">
        <f t="shared" si="188"/>
        <v>24.758924967649023</v>
      </c>
      <c r="P189" s="26">
        <f t="shared" si="178"/>
        <v>13.12249958639045</v>
      </c>
      <c r="Q189" s="26">
        <f t="shared" si="189"/>
        <v>74.228657977472494</v>
      </c>
      <c r="R189" s="26">
        <f t="shared" si="190"/>
        <v>39.265314470322394</v>
      </c>
      <c r="S189" s="26">
        <f t="shared" si="179"/>
        <v>38.615343677546612</v>
      </c>
      <c r="T189" s="27">
        <f t="shared" si="180"/>
        <v>974.06553360770101</v>
      </c>
      <c r="U189" s="27">
        <f t="shared" si="181"/>
        <v>0</v>
      </c>
      <c r="V189" s="27">
        <f t="shared" si="182"/>
        <v>1421.8470122390672</v>
      </c>
      <c r="W189" s="27">
        <f t="shared" si="183"/>
        <v>1304.7046210479564</v>
      </c>
      <c r="X189" s="15">
        <f t="shared" si="184"/>
        <v>0.74657935435632816</v>
      </c>
      <c r="Y189" s="15">
        <f t="shared" si="191"/>
        <v>0.74657935435632816</v>
      </c>
    </row>
    <row r="190" spans="1:25">
      <c r="A190" s="14">
        <f>'a（自動）計算用'!D77</f>
        <v>82</v>
      </c>
      <c r="B190" s="156">
        <f>'a（自動）計算用'!F77</f>
        <v>613.00436555367423</v>
      </c>
      <c r="C190" s="156"/>
      <c r="D190" s="26">
        <f>'a（自動）計算用'!G77</f>
        <v>30.739008852816088</v>
      </c>
      <c r="E190" s="26">
        <f t="shared" si="185"/>
        <v>24.758924967649023</v>
      </c>
      <c r="F190" s="26">
        <f t="shared" si="172"/>
        <v>13.166368683959876</v>
      </c>
      <c r="G190" s="26">
        <f t="shared" si="173"/>
        <v>74.491798217538957</v>
      </c>
      <c r="H190" s="26">
        <f t="shared" si="186"/>
        <v>39.334850575227506</v>
      </c>
      <c r="I190" s="26">
        <f t="shared" si="174"/>
        <v>38.682242224743952</v>
      </c>
      <c r="J190" s="27">
        <f t="shared" ref="J190:K190" si="198">J74</f>
        <v>0.5902518719958888</v>
      </c>
      <c r="K190" s="155">
        <f t="shared" si="198"/>
        <v>1667.5780580967696</v>
      </c>
      <c r="L190" s="27">
        <f t="shared" si="176"/>
        <v>980.786479263263</v>
      </c>
      <c r="M190" s="155">
        <f>'a（自動）計算用'!L77</f>
        <v>0</v>
      </c>
      <c r="N190" s="155">
        <f t="shared" si="177"/>
        <v>613.00436555367423</v>
      </c>
      <c r="O190" s="26">
        <f t="shared" si="188"/>
        <v>24.758924967649023</v>
      </c>
      <c r="P190" s="26">
        <f t="shared" si="178"/>
        <v>13.166368683959876</v>
      </c>
      <c r="Q190" s="26">
        <f t="shared" si="189"/>
        <v>74.491798217538957</v>
      </c>
      <c r="R190" s="26">
        <f t="shared" si="190"/>
        <v>39.334850575227506</v>
      </c>
      <c r="S190" s="26">
        <f t="shared" si="179"/>
        <v>38.682242224743952</v>
      </c>
      <c r="T190" s="27">
        <f t="shared" si="180"/>
        <v>980.786479263263</v>
      </c>
      <c r="U190" s="27">
        <f t="shared" si="181"/>
        <v>0</v>
      </c>
      <c r="V190" s="27">
        <f t="shared" si="182"/>
        <v>1414.9547031190309</v>
      </c>
      <c r="W190" s="27">
        <f t="shared" si="183"/>
        <v>1310.8700587612866</v>
      </c>
      <c r="X190" s="15">
        <f t="shared" si="184"/>
        <v>0.74819504245147095</v>
      </c>
      <c r="Y190" s="15">
        <f t="shared" si="191"/>
        <v>0.74819504245147095</v>
      </c>
    </row>
    <row r="191" spans="1:25">
      <c r="A191" s="14">
        <f>'a（自動）計算用'!D78</f>
        <v>83</v>
      </c>
      <c r="B191" s="156">
        <f>'a（自動）計算用'!F78</f>
        <v>613.00436555367423</v>
      </c>
      <c r="C191" s="156"/>
      <c r="D191" s="26">
        <f>'a（自動）計算用'!G78</f>
        <v>30.846733427152206</v>
      </c>
      <c r="E191" s="26">
        <f t="shared" si="185"/>
        <v>24.758924967649023</v>
      </c>
      <c r="F191" s="26">
        <f t="shared" si="172"/>
        <v>13.209068912278964</v>
      </c>
      <c r="G191" s="26">
        <f t="shared" si="173"/>
        <v>74.747429617816906</v>
      </c>
      <c r="H191" s="26">
        <f t="shared" si="186"/>
        <v>39.402284919588951</v>
      </c>
      <c r="I191" s="26">
        <f t="shared" si="174"/>
        <v>38.74711106748596</v>
      </c>
      <c r="J191" s="27">
        <f t="shared" ref="J191:K191" si="199">J75</f>
        <v>0.59341430972201081</v>
      </c>
      <c r="K191" s="155">
        <f t="shared" si="199"/>
        <v>1664.6084426556456</v>
      </c>
      <c r="L191" s="27">
        <f t="shared" si="176"/>
        <v>987.34394883746518</v>
      </c>
      <c r="M191" s="155">
        <f>'a（自動）計算用'!L78</f>
        <v>0</v>
      </c>
      <c r="N191" s="155">
        <f t="shared" si="177"/>
        <v>613.00436555367423</v>
      </c>
      <c r="O191" s="26">
        <f t="shared" si="188"/>
        <v>24.758924967649023</v>
      </c>
      <c r="P191" s="26">
        <f t="shared" si="178"/>
        <v>13.209068912278964</v>
      </c>
      <c r="Q191" s="26">
        <f t="shared" si="189"/>
        <v>74.747429617816906</v>
      </c>
      <c r="R191" s="26">
        <f t="shared" si="190"/>
        <v>39.402284919588951</v>
      </c>
      <c r="S191" s="26">
        <f t="shared" si="179"/>
        <v>38.74711106748596</v>
      </c>
      <c r="T191" s="27">
        <f t="shared" si="180"/>
        <v>987.34394883746518</v>
      </c>
      <c r="U191" s="27">
        <f t="shared" si="181"/>
        <v>0</v>
      </c>
      <c r="V191" s="27">
        <f t="shared" si="182"/>
        <v>1408.3017453961254</v>
      </c>
      <c r="W191" s="27">
        <f t="shared" si="183"/>
        <v>1316.8777712676017</v>
      </c>
      <c r="X191" s="15">
        <f t="shared" si="184"/>
        <v>0.7497612689498635</v>
      </c>
      <c r="Y191" s="15">
        <f t="shared" si="191"/>
        <v>0.7497612689498635</v>
      </c>
    </row>
    <row r="192" spans="1:25">
      <c r="A192" s="14">
        <f>'a（自動）計算用'!D79</f>
        <v>84</v>
      </c>
      <c r="B192" s="156">
        <f>'a（自動）計算用'!F79</f>
        <v>613.00436555367423</v>
      </c>
      <c r="C192" s="156"/>
      <c r="D192" s="26">
        <f>'a（自動）計算用'!G79</f>
        <v>30.951588530301056</v>
      </c>
      <c r="E192" s="26">
        <f t="shared" si="185"/>
        <v>24.758924967649023</v>
      </c>
      <c r="F192" s="26">
        <f t="shared" si="172"/>
        <v>13.250631729978366</v>
      </c>
      <c r="G192" s="26">
        <f t="shared" si="173"/>
        <v>74.995780840506839</v>
      </c>
      <c r="H192" s="26">
        <f t="shared" si="186"/>
        <v>39.467688445159077</v>
      </c>
      <c r="I192" s="26">
        <f t="shared" si="174"/>
        <v>38.810019105480187</v>
      </c>
      <c r="J192" s="27">
        <f t="shared" ref="J192:K192" si="200">J76</f>
        <v>0.5964963792769824</v>
      </c>
      <c r="K192" s="155">
        <f t="shared" si="200"/>
        <v>1661.7244542837959</v>
      </c>
      <c r="L192" s="27">
        <f t="shared" si="176"/>
        <v>993.7414732197235</v>
      </c>
      <c r="M192" s="155">
        <f>'a（自動）計算用'!L79</f>
        <v>160</v>
      </c>
      <c r="N192" s="155">
        <f t="shared" si="177"/>
        <v>453.00436555367423</v>
      </c>
      <c r="O192" s="26">
        <f t="shared" si="188"/>
        <v>21.283899209347762</v>
      </c>
      <c r="P192" s="26">
        <f t="shared" si="178"/>
        <v>12.922698286620548</v>
      </c>
      <c r="Q192" s="26">
        <f t="shared" si="189"/>
        <v>66.515206843184899</v>
      </c>
      <c r="R192" s="26">
        <f t="shared" si="190"/>
        <v>43.237874701108382</v>
      </c>
      <c r="S192" s="26">
        <f t="shared" si="179"/>
        <v>42.637280653411672</v>
      </c>
      <c r="T192" s="27">
        <f t="shared" si="180"/>
        <v>859.55594950663681</v>
      </c>
      <c r="U192" s="27">
        <f t="shared" si="181"/>
        <v>134.1855237130867</v>
      </c>
      <c r="V192" s="27">
        <f t="shared" si="182"/>
        <v>1401.878169431694</v>
      </c>
      <c r="W192" s="27">
        <f t="shared" si="183"/>
        <v>1322.7316460176892</v>
      </c>
      <c r="X192" s="15">
        <f t="shared" si="184"/>
        <v>0.75127972949883892</v>
      </c>
      <c r="Y192" s="15">
        <f t="shared" si="191"/>
        <v>0.64983396450404562</v>
      </c>
    </row>
    <row r="193" spans="1:25">
      <c r="A193" s="14">
        <f>'a（自動）計算用'!D80</f>
        <v>85</v>
      </c>
      <c r="B193" s="156">
        <f>'a（自動）計算用'!F80</f>
        <v>453.00436555367423</v>
      </c>
      <c r="C193" s="156"/>
      <c r="D193" s="26">
        <f>'a（自動）計算用'!G80</f>
        <v>31.053651329577239</v>
      </c>
      <c r="E193" s="26">
        <f t="shared" si="185"/>
        <v>21.283899209347762</v>
      </c>
      <c r="F193" s="26">
        <f t="shared" si="172"/>
        <v>12.962072921686985</v>
      </c>
      <c r="G193" s="26">
        <f t="shared" si="173"/>
        <v>66.751926875688397</v>
      </c>
      <c r="H193" s="26">
        <f t="shared" si="186"/>
        <v>43.314745699621696</v>
      </c>
      <c r="I193" s="26">
        <f t="shared" si="174"/>
        <v>42.711905271695571</v>
      </c>
      <c r="J193" s="27">
        <f t="shared" ref="J193:K193" si="201">J77</f>
        <v>0.5995000273776675</v>
      </c>
      <c r="K193" s="155">
        <f t="shared" si="201"/>
        <v>1658.9234461350231</v>
      </c>
      <c r="L193" s="27">
        <f t="shared" si="176"/>
        <v>865.24334382579036</v>
      </c>
      <c r="M193" s="155">
        <f>'a（自動）計算用'!L80</f>
        <v>0</v>
      </c>
      <c r="N193" s="155">
        <f t="shared" si="177"/>
        <v>453.00436555367423</v>
      </c>
      <c r="O193" s="26">
        <f t="shared" si="188"/>
        <v>21.283899209347762</v>
      </c>
      <c r="P193" s="26">
        <f t="shared" si="178"/>
        <v>12.962072921686985</v>
      </c>
      <c r="Q193" s="26">
        <f t="shared" si="189"/>
        <v>66.751926875688397</v>
      </c>
      <c r="R193" s="26">
        <f t="shared" si="190"/>
        <v>43.314745699621696</v>
      </c>
      <c r="S193" s="26">
        <f t="shared" si="179"/>
        <v>42.711905271695571</v>
      </c>
      <c r="T193" s="27">
        <f t="shared" si="180"/>
        <v>865.24334382579036</v>
      </c>
      <c r="U193" s="27">
        <f t="shared" si="181"/>
        <v>0</v>
      </c>
      <c r="V193" s="27">
        <f t="shared" si="182"/>
        <v>1395.6745202785185</v>
      </c>
      <c r="W193" s="27">
        <f t="shared" si="183"/>
        <v>1328.4354826113372</v>
      </c>
      <c r="X193" s="15">
        <f t="shared" si="184"/>
        <v>0.65132507762060143</v>
      </c>
      <c r="Y193" s="15">
        <f t="shared" si="191"/>
        <v>0.65132507762060143</v>
      </c>
    </row>
    <row r="194" spans="1:25">
      <c r="A194" s="14">
        <f>'a（自動）計算用'!D81</f>
        <v>86</v>
      </c>
      <c r="B194" s="156">
        <f>'a（自動）計算用'!F81</f>
        <v>453.00436555367423</v>
      </c>
      <c r="C194" s="156"/>
      <c r="D194" s="26">
        <f>'a（自動）計算用'!G81</f>
        <v>31.152996859692191</v>
      </c>
      <c r="E194" s="26">
        <f t="shared" si="185"/>
        <v>21.283899209347762</v>
      </c>
      <c r="F194" s="26">
        <f t="shared" si="172"/>
        <v>13.000399266070042</v>
      </c>
      <c r="G194" s="26">
        <f t="shared" si="173"/>
        <v>66.982040662898385</v>
      </c>
      <c r="H194" s="26">
        <f t="shared" si="186"/>
        <v>43.389340886118248</v>
      </c>
      <c r="I194" s="26">
        <f t="shared" si="174"/>
        <v>42.784315522903128</v>
      </c>
      <c r="J194" s="27">
        <f t="shared" ref="J194:K194" si="202">J78</f>
        <v>0.60242715908781652</v>
      </c>
      <c r="K194" s="155">
        <f t="shared" si="202"/>
        <v>1656.2028623451035</v>
      </c>
      <c r="L194" s="27">
        <f t="shared" si="176"/>
        <v>870.79327227381793</v>
      </c>
      <c r="M194" s="155">
        <f>'a（自動）計算用'!L81</f>
        <v>0</v>
      </c>
      <c r="N194" s="155">
        <f t="shared" si="177"/>
        <v>453.00436555367423</v>
      </c>
      <c r="O194" s="26">
        <f t="shared" si="188"/>
        <v>21.283899209347762</v>
      </c>
      <c r="P194" s="26">
        <f t="shared" si="178"/>
        <v>13.000399266070042</v>
      </c>
      <c r="Q194" s="26">
        <f t="shared" si="189"/>
        <v>66.982040662898385</v>
      </c>
      <c r="R194" s="26">
        <f t="shared" si="190"/>
        <v>43.389340886118248</v>
      </c>
      <c r="S194" s="26">
        <f t="shared" si="179"/>
        <v>42.784315522903128</v>
      </c>
      <c r="T194" s="27">
        <f t="shared" si="180"/>
        <v>870.79327227381793</v>
      </c>
      <c r="U194" s="27">
        <f t="shared" si="181"/>
        <v>0</v>
      </c>
      <c r="V194" s="27">
        <f t="shared" si="182"/>
        <v>1389.6818251592269</v>
      </c>
      <c r="W194" s="27">
        <f t="shared" si="183"/>
        <v>1333.9929942554638</v>
      </c>
      <c r="X194" s="15">
        <f t="shared" si="184"/>
        <v>0.6527719980717217</v>
      </c>
      <c r="Y194" s="15">
        <f t="shared" si="191"/>
        <v>0.6527719980717217</v>
      </c>
    </row>
    <row r="195" spans="1:25">
      <c r="A195" s="14">
        <f>'a（自動）計算用'!D82</f>
        <v>87</v>
      </c>
      <c r="B195" s="156">
        <f>'a（自動）計算用'!F82</f>
        <v>453.00436555367423</v>
      </c>
      <c r="C195" s="156"/>
      <c r="D195" s="26">
        <f>'a（自動）計算用'!G82</f>
        <v>31.249698085070811</v>
      </c>
      <c r="E195" s="26">
        <f t="shared" si="185"/>
        <v>21.283899209347762</v>
      </c>
      <c r="F195" s="26">
        <f t="shared" si="172"/>
        <v>13.037705468592055</v>
      </c>
      <c r="G195" s="26">
        <f t="shared" si="173"/>
        <v>67.205741158595671</v>
      </c>
      <c r="H195" s="26">
        <f t="shared" si="186"/>
        <v>43.461734370165772</v>
      </c>
      <c r="I195" s="26">
        <f t="shared" si="174"/>
        <v>42.854583773765853</v>
      </c>
      <c r="J195" s="27">
        <f t="shared" ref="J195:K195" si="203">J79</f>
        <v>0.60527963832805609</v>
      </c>
      <c r="K195" s="155">
        <f t="shared" si="203"/>
        <v>1653.5602344904505</v>
      </c>
      <c r="L195" s="27">
        <f t="shared" si="176"/>
        <v>876.20865902420496</v>
      </c>
      <c r="M195" s="155">
        <f>'a（自動）計算用'!L82</f>
        <v>0</v>
      </c>
      <c r="N195" s="155">
        <f t="shared" si="177"/>
        <v>453.00436555367423</v>
      </c>
      <c r="O195" s="26">
        <f t="shared" si="188"/>
        <v>21.283899209347762</v>
      </c>
      <c r="P195" s="26">
        <f t="shared" si="178"/>
        <v>13.037705468592055</v>
      </c>
      <c r="Q195" s="26">
        <f t="shared" si="189"/>
        <v>67.205741158595671</v>
      </c>
      <c r="R195" s="26">
        <f t="shared" si="190"/>
        <v>43.461734370165772</v>
      </c>
      <c r="S195" s="26">
        <f t="shared" si="179"/>
        <v>42.854583773765853</v>
      </c>
      <c r="T195" s="27">
        <f t="shared" si="180"/>
        <v>876.20865902420496</v>
      </c>
      <c r="U195" s="27">
        <f t="shared" si="181"/>
        <v>0</v>
      </c>
      <c r="V195" s="27">
        <f t="shared" si="182"/>
        <v>1383.8915633682902</v>
      </c>
      <c r="W195" s="27">
        <f t="shared" si="183"/>
        <v>1339.4078092470263</v>
      </c>
      <c r="X195" s="15">
        <f t="shared" si="184"/>
        <v>0.65417616126695755</v>
      </c>
      <c r="Y195" s="15">
        <f t="shared" si="191"/>
        <v>0.65417616126695755</v>
      </c>
    </row>
    <row r="196" spans="1:25">
      <c r="A196" s="14">
        <f>'a（自動）計算用'!D83</f>
        <v>88</v>
      </c>
      <c r="B196" s="156">
        <f>'a（自動）計算用'!F83</f>
        <v>453.00436555367423</v>
      </c>
      <c r="C196" s="156"/>
      <c r="D196" s="26">
        <f>'a（自動）計算用'!G83</f>
        <v>31.34382596027713</v>
      </c>
      <c r="E196" s="26">
        <f t="shared" si="185"/>
        <v>21.283899209347762</v>
      </c>
      <c r="F196" s="26">
        <f t="shared" si="172"/>
        <v>13.074018902694508</v>
      </c>
      <c r="G196" s="26">
        <f t="shared" si="173"/>
        <v>67.423215233487994</v>
      </c>
      <c r="H196" s="26">
        <f t="shared" si="186"/>
        <v>43.531997462893024</v>
      </c>
      <c r="I196" s="26">
        <f t="shared" si="174"/>
        <v>42.922779645994829</v>
      </c>
      <c r="J196" s="27">
        <f t="shared" ref="J196:K196" si="204">J80</f>
        <v>0.60805928841550583</v>
      </c>
      <c r="K196" s="155">
        <f t="shared" si="204"/>
        <v>1650.9931781960893</v>
      </c>
      <c r="L196" s="27">
        <f t="shared" si="176"/>
        <v>881.49239044306228</v>
      </c>
      <c r="M196" s="155">
        <f>'a（自動）計算用'!L83</f>
        <v>0</v>
      </c>
      <c r="N196" s="155">
        <f t="shared" si="177"/>
        <v>453.00436555367423</v>
      </c>
      <c r="O196" s="26">
        <f t="shared" si="188"/>
        <v>21.283899209347762</v>
      </c>
      <c r="P196" s="26">
        <f t="shared" si="178"/>
        <v>13.074018902694508</v>
      </c>
      <c r="Q196" s="26">
        <f t="shared" si="189"/>
        <v>67.423215233487994</v>
      </c>
      <c r="R196" s="26">
        <f t="shared" si="190"/>
        <v>43.531997462893024</v>
      </c>
      <c r="S196" s="26">
        <f t="shared" si="179"/>
        <v>42.922779645994829</v>
      </c>
      <c r="T196" s="27">
        <f t="shared" si="180"/>
        <v>881.49239044306228</v>
      </c>
      <c r="U196" s="27">
        <f t="shared" si="181"/>
        <v>0</v>
      </c>
      <c r="V196" s="27">
        <f t="shared" si="182"/>
        <v>1378.295638391819</v>
      </c>
      <c r="W196" s="27">
        <f t="shared" si="183"/>
        <v>1344.6834724738342</v>
      </c>
      <c r="X196" s="15">
        <f t="shared" si="184"/>
        <v>0.65553894911890875</v>
      </c>
      <c r="Y196" s="15">
        <f t="shared" si="191"/>
        <v>0.65553894911890875</v>
      </c>
    </row>
    <row r="197" spans="1:25">
      <c r="A197" s="14">
        <f>'a（自動）計算用'!D84</f>
        <v>89</v>
      </c>
      <c r="B197" s="156">
        <f>'a（自動）計算用'!F84</f>
        <v>453.00436555367423</v>
      </c>
      <c r="C197" s="156"/>
      <c r="D197" s="26">
        <f>'a（自動）計算用'!G84</f>
        <v>31.435449488585853</v>
      </c>
      <c r="E197" s="26">
        <f t="shared" si="185"/>
        <v>21.283899209347762</v>
      </c>
      <c r="F197" s="26">
        <f t="shared" si="172"/>
        <v>13.109366189034297</v>
      </c>
      <c r="G197" s="26">
        <f t="shared" si="173"/>
        <v>67.634643887079037</v>
      </c>
      <c r="H197" s="26">
        <f t="shared" si="186"/>
        <v>43.6001988039623</v>
      </c>
      <c r="I197" s="26">
        <f t="shared" si="174"/>
        <v>42.988970141371823</v>
      </c>
      <c r="J197" s="27">
        <f t="shared" ref="J197:K197" si="205">J81</f>
        <v>0.61076789262828868</v>
      </c>
      <c r="K197" s="155">
        <f t="shared" si="205"/>
        <v>1648.4993898873015</v>
      </c>
      <c r="L197" s="27">
        <f t="shared" si="176"/>
        <v>886.64731378064914</v>
      </c>
      <c r="M197" s="155">
        <f>'a（自動）計算用'!L84</f>
        <v>0</v>
      </c>
      <c r="N197" s="155">
        <f t="shared" si="177"/>
        <v>453.00436555367423</v>
      </c>
      <c r="O197" s="26">
        <f t="shared" si="188"/>
        <v>21.283899209347762</v>
      </c>
      <c r="P197" s="26">
        <f t="shared" si="178"/>
        <v>13.109366189034297</v>
      </c>
      <c r="Q197" s="26">
        <f t="shared" si="189"/>
        <v>67.634643887079037</v>
      </c>
      <c r="R197" s="26">
        <f t="shared" si="190"/>
        <v>43.6001988039623</v>
      </c>
      <c r="S197" s="26">
        <f t="shared" si="179"/>
        <v>42.988970141371823</v>
      </c>
      <c r="T197" s="27">
        <f t="shared" si="180"/>
        <v>886.64731378064914</v>
      </c>
      <c r="U197" s="27">
        <f t="shared" si="181"/>
        <v>0</v>
      </c>
      <c r="V197" s="27">
        <f t="shared" si="182"/>
        <v>1372.8863520587172</v>
      </c>
      <c r="W197" s="27">
        <f t="shared" si="183"/>
        <v>1349.8234469273714</v>
      </c>
      <c r="X197" s="15">
        <f t="shared" si="184"/>
        <v>0.65686169239313574</v>
      </c>
      <c r="Y197" s="15">
        <f t="shared" si="191"/>
        <v>0.65686169239313574</v>
      </c>
    </row>
    <row r="198" spans="1:25">
      <c r="A198" s="14">
        <f>'a（自動）計算用'!D85</f>
        <v>90</v>
      </c>
      <c r="B198" s="156">
        <f>'a（自動）計算用'!F85</f>
        <v>453.00436555367423</v>
      </c>
      <c r="C198" s="156"/>
      <c r="D198" s="26">
        <f>'a（自動）計算用'!G85</f>
        <v>31.52463577874099</v>
      </c>
      <c r="E198" s="26">
        <f t="shared" si="185"/>
        <v>21.283899209347762</v>
      </c>
      <c r="F198" s="26">
        <f t="shared" si="172"/>
        <v>13.143773217380494</v>
      </c>
      <c r="G198" s="26">
        <f t="shared" si="173"/>
        <v>67.840202451694879</v>
      </c>
      <c r="H198" s="26">
        <f t="shared" si="186"/>
        <v>43.666404481694364</v>
      </c>
      <c r="I198" s="26">
        <f t="shared" si="174"/>
        <v>43.053219760071975</v>
      </c>
      <c r="J198" s="27">
        <f t="shared" ref="J198:K198" si="206">J82</f>
        <v>0.61340719479072414</v>
      </c>
      <c r="K198" s="155">
        <f t="shared" si="206"/>
        <v>1646.0766436793454</v>
      </c>
      <c r="L198" s="27">
        <f t="shared" si="176"/>
        <v>891.6762360462576</v>
      </c>
      <c r="M198" s="155">
        <f>'a（自動）計算用'!L85</f>
        <v>0</v>
      </c>
      <c r="N198" s="155">
        <f t="shared" si="177"/>
        <v>453.00436555367423</v>
      </c>
      <c r="O198" s="26">
        <f t="shared" si="188"/>
        <v>21.283899209347762</v>
      </c>
      <c r="P198" s="26">
        <f t="shared" si="178"/>
        <v>13.143773217380494</v>
      </c>
      <c r="Q198" s="26">
        <f t="shared" si="189"/>
        <v>67.840202451694879</v>
      </c>
      <c r="R198" s="26">
        <f t="shared" si="190"/>
        <v>43.666404481694364</v>
      </c>
      <c r="S198" s="26">
        <f t="shared" si="179"/>
        <v>43.053219760071975</v>
      </c>
      <c r="T198" s="27">
        <f t="shared" si="180"/>
        <v>891.6762360462576</v>
      </c>
      <c r="U198" s="27">
        <f t="shared" si="181"/>
        <v>0</v>
      </c>
      <c r="V198" s="27">
        <f t="shared" si="182"/>
        <v>1367.6563805542935</v>
      </c>
      <c r="W198" s="27">
        <f t="shared" si="183"/>
        <v>1354.831115222473</v>
      </c>
      <c r="X198" s="15">
        <f t="shared" si="184"/>
        <v>0.65814567293860682</v>
      </c>
      <c r="Y198" s="15">
        <f t="shared" si="191"/>
        <v>0.65814567293860682</v>
      </c>
    </row>
    <row r="199" spans="1:25">
      <c r="A199" s="14">
        <f>'a（自動）計算用'!D86</f>
        <v>91</v>
      </c>
      <c r="B199" s="156">
        <f>'a（自動）計算用'!F86</f>
        <v>453.00436555367423</v>
      </c>
      <c r="C199" s="156"/>
      <c r="D199" s="26">
        <f>'a（自動）計算用'!G86</f>
        <v>31.611450099945927</v>
      </c>
      <c r="E199" s="26">
        <f t="shared" si="185"/>
        <v>21.283899209347762</v>
      </c>
      <c r="F199" s="26">
        <f t="shared" si="172"/>
        <v>13.177265167828912</v>
      </c>
      <c r="G199" s="26">
        <f t="shared" si="173"/>
        <v>68.04006078890157</v>
      </c>
      <c r="H199" s="26">
        <f t="shared" si="186"/>
        <v>43.730678146762479</v>
      </c>
      <c r="I199" s="26">
        <f t="shared" si="174"/>
        <v>43.115590612630911</v>
      </c>
      <c r="J199" s="27">
        <f t="shared" ref="J199:K199" si="207">J83</f>
        <v>0.61597889987550181</v>
      </c>
      <c r="K199" s="155">
        <f t="shared" si="207"/>
        <v>1643.722788399692</v>
      </c>
      <c r="L199" s="27">
        <f t="shared" si="176"/>
        <v>896.58192305055434</v>
      </c>
      <c r="M199" s="155">
        <f>'a（自動）計算用'!L86</f>
        <v>0</v>
      </c>
      <c r="N199" s="155">
        <f t="shared" si="177"/>
        <v>453.00436555367423</v>
      </c>
      <c r="O199" s="26">
        <f t="shared" si="188"/>
        <v>21.283899209347762</v>
      </c>
      <c r="P199" s="26">
        <f t="shared" si="178"/>
        <v>13.177265167828912</v>
      </c>
      <c r="Q199" s="26">
        <f t="shared" si="189"/>
        <v>68.04006078890157</v>
      </c>
      <c r="R199" s="26">
        <f t="shared" si="190"/>
        <v>43.730678146762479</v>
      </c>
      <c r="S199" s="26">
        <f t="shared" si="179"/>
        <v>43.115590612630911</v>
      </c>
      <c r="T199" s="27">
        <f t="shared" si="180"/>
        <v>896.58192305055434</v>
      </c>
      <c r="U199" s="27">
        <f t="shared" si="181"/>
        <v>0</v>
      </c>
      <c r="V199" s="27">
        <f t="shared" si="182"/>
        <v>1362.5987521430015</v>
      </c>
      <c r="W199" s="27">
        <f t="shared" si="183"/>
        <v>1359.7097811193976</v>
      </c>
      <c r="X199" s="15">
        <f t="shared" si="184"/>
        <v>0.65939212580528206</v>
      </c>
      <c r="Y199" s="15">
        <f t="shared" si="191"/>
        <v>0.65939212580528206</v>
      </c>
    </row>
    <row r="200" spans="1:25">
      <c r="A200" s="14">
        <f>'a（自動）計算用'!D87</f>
        <v>92</v>
      </c>
      <c r="B200" s="156">
        <f>'a（自動）計算用'!F87</f>
        <v>453.00436555367423</v>
      </c>
      <c r="C200" s="156"/>
      <c r="D200" s="26">
        <f>'a（自動）計算用'!G87</f>
        <v>31.695955935131838</v>
      </c>
      <c r="E200" s="26">
        <f t="shared" si="185"/>
        <v>21.283899209347762</v>
      </c>
      <c r="F200" s="26">
        <f t="shared" si="172"/>
        <v>13.209866531352422</v>
      </c>
      <c r="G200" s="26">
        <f t="shared" si="173"/>
        <v>68.234383478556325</v>
      </c>
      <c r="H200" s="26">
        <f t="shared" si="186"/>
        <v>43.793081119846192</v>
      </c>
      <c r="I200" s="26">
        <f t="shared" si="174"/>
        <v>43.176142525943419</v>
      </c>
      <c r="J200" s="27">
        <f t="shared" ref="J200:K200" si="208">J84</f>
        <v>0.61848467461956458</v>
      </c>
      <c r="K200" s="155">
        <f t="shared" si="208"/>
        <v>1641.4357447373015</v>
      </c>
      <c r="L200" s="27">
        <f t="shared" si="176"/>
        <v>901.36709860084773</v>
      </c>
      <c r="M200" s="155">
        <f>'a（自動）計算用'!L87</f>
        <v>0</v>
      </c>
      <c r="N200" s="155">
        <f t="shared" si="177"/>
        <v>453.00436555367423</v>
      </c>
      <c r="O200" s="26">
        <f t="shared" si="188"/>
        <v>21.283899209347762</v>
      </c>
      <c r="P200" s="26">
        <f t="shared" si="178"/>
        <v>13.209866531352422</v>
      </c>
      <c r="Q200" s="26">
        <f t="shared" si="189"/>
        <v>68.234383478556325</v>
      </c>
      <c r="R200" s="26">
        <f t="shared" si="190"/>
        <v>43.793081119846192</v>
      </c>
      <c r="S200" s="26">
        <f t="shared" si="179"/>
        <v>43.176142525943419</v>
      </c>
      <c r="T200" s="27">
        <f t="shared" si="180"/>
        <v>901.36709860084773</v>
      </c>
      <c r="U200" s="27">
        <f t="shared" si="181"/>
        <v>0</v>
      </c>
      <c r="V200" s="27">
        <f t="shared" si="182"/>
        <v>1357.706826461118</v>
      </c>
      <c r="W200" s="27">
        <f t="shared" si="183"/>
        <v>1364.4626710444495</v>
      </c>
      <c r="X200" s="15">
        <f t="shared" si="184"/>
        <v>0.66060224125507372</v>
      </c>
      <c r="Y200" s="15">
        <f t="shared" si="191"/>
        <v>0.66060224125507372</v>
      </c>
    </row>
    <row r="201" spans="1:25">
      <c r="A201" s="14">
        <f>'a（自動）計算用'!D88</f>
        <v>93</v>
      </c>
      <c r="B201" s="156">
        <f>'a（自動）計算用'!F88</f>
        <v>453.00436555367423</v>
      </c>
      <c r="C201" s="156"/>
      <c r="D201" s="26">
        <f>'a（自動）計算用'!G88</f>
        <v>31.778215032552865</v>
      </c>
      <c r="E201" s="26">
        <f t="shared" si="185"/>
        <v>21.283899209347762</v>
      </c>
      <c r="F201" s="26">
        <f t="shared" si="172"/>
        <v>13.241601129705764</v>
      </c>
      <c r="G201" s="26">
        <f t="shared" si="173"/>
        <v>68.423330000738531</v>
      </c>
      <c r="H201" s="26">
        <f t="shared" si="186"/>
        <v>43.853672493610304</v>
      </c>
      <c r="I201" s="26">
        <f t="shared" si="174"/>
        <v>43.234933143655681</v>
      </c>
      <c r="J201" s="27">
        <f t="shared" ref="J201:K201" si="209">J85</f>
        <v>0.62092614815082148</v>
      </c>
      <c r="K201" s="155">
        <f t="shared" si="209"/>
        <v>1639.213502513576</v>
      </c>
      <c r="L201" s="27">
        <f t="shared" si="176"/>
        <v>906.03444383600959</v>
      </c>
      <c r="M201" s="155">
        <f>'a（自動）計算用'!L88</f>
        <v>0</v>
      </c>
      <c r="N201" s="155">
        <f t="shared" si="177"/>
        <v>453.00436555367423</v>
      </c>
      <c r="O201" s="26">
        <f t="shared" si="188"/>
        <v>21.283899209347762</v>
      </c>
      <c r="P201" s="26">
        <f t="shared" si="178"/>
        <v>13.241601129705764</v>
      </c>
      <c r="Q201" s="26">
        <f t="shared" si="189"/>
        <v>68.423330000738531</v>
      </c>
      <c r="R201" s="26">
        <f t="shared" si="190"/>
        <v>43.853672493610304</v>
      </c>
      <c r="S201" s="26">
        <f t="shared" si="179"/>
        <v>43.234933143655681</v>
      </c>
      <c r="T201" s="27">
        <f t="shared" si="180"/>
        <v>906.03444383600959</v>
      </c>
      <c r="U201" s="27">
        <f t="shared" si="181"/>
        <v>0</v>
      </c>
      <c r="V201" s="27">
        <f t="shared" si="182"/>
        <v>1352.9742752527613</v>
      </c>
      <c r="W201" s="27">
        <f t="shared" si="183"/>
        <v>1369.09293560584</v>
      </c>
      <c r="X201" s="15">
        <f t="shared" si="184"/>
        <v>0.66177716667209197</v>
      </c>
      <c r="Y201" s="15">
        <f t="shared" si="191"/>
        <v>0.66177716667209197</v>
      </c>
    </row>
    <row r="202" spans="1:25">
      <c r="A202" s="14">
        <f>'a（自動）計算用'!D89</f>
        <v>94</v>
      </c>
      <c r="B202" s="156">
        <f>'a（自動）計算用'!F89</f>
        <v>453.00436555367423</v>
      </c>
      <c r="C202" s="156"/>
      <c r="D202" s="26">
        <f>'a（自動）計算用'!G89</f>
        <v>31.858287455757491</v>
      </c>
      <c r="E202" s="26">
        <f t="shared" si="185"/>
        <v>21.283899209347762</v>
      </c>
      <c r="F202" s="26">
        <f t="shared" si="172"/>
        <v>13.272492134703928</v>
      </c>
      <c r="G202" s="26">
        <f t="shared" si="173"/>
        <v>68.607054910805928</v>
      </c>
      <c r="H202" s="26">
        <f t="shared" si="186"/>
        <v>43.912509229349901</v>
      </c>
      <c r="I202" s="26">
        <f t="shared" si="174"/>
        <v>43.292018021288719</v>
      </c>
      <c r="J202" s="27">
        <f t="shared" ref="J202:K202" si="210">J86</f>
        <v>0.62330491262313492</v>
      </c>
      <c r="K202" s="155">
        <f t="shared" si="210"/>
        <v>1637.0541180697639</v>
      </c>
      <c r="L202" s="27">
        <f t="shared" si="176"/>
        <v>910.58659668887208</v>
      </c>
      <c r="M202" s="155">
        <f>'a（自動）計算用'!L89</f>
        <v>0</v>
      </c>
      <c r="N202" s="155">
        <f t="shared" si="177"/>
        <v>453.00436555367423</v>
      </c>
      <c r="O202" s="26">
        <f t="shared" si="188"/>
        <v>21.283899209347762</v>
      </c>
      <c r="P202" s="26">
        <f t="shared" si="178"/>
        <v>13.272492134703928</v>
      </c>
      <c r="Q202" s="26">
        <f t="shared" si="189"/>
        <v>68.607054910805928</v>
      </c>
      <c r="R202" s="26">
        <f t="shared" si="190"/>
        <v>43.912509229349901</v>
      </c>
      <c r="S202" s="26">
        <f t="shared" si="179"/>
        <v>43.292018021288719</v>
      </c>
      <c r="T202" s="27">
        <f t="shared" si="180"/>
        <v>910.58659668887208</v>
      </c>
      <c r="U202" s="27">
        <f t="shared" si="181"/>
        <v>0</v>
      </c>
      <c r="V202" s="27">
        <f t="shared" si="182"/>
        <v>1348.3950644340634</v>
      </c>
      <c r="W202" s="27">
        <f t="shared" si="183"/>
        <v>1373.6036511018922</v>
      </c>
      <c r="X202" s="15">
        <f t="shared" si="184"/>
        <v>0.66291800837774995</v>
      </c>
      <c r="Y202" s="15">
        <f t="shared" si="191"/>
        <v>0.66291800837774995</v>
      </c>
    </row>
    <row r="203" spans="1:25">
      <c r="A203" s="14">
        <f>'a（自動）計算用'!D90</f>
        <v>95</v>
      </c>
      <c r="B203" s="156">
        <f>'a（自動）計算用'!F90</f>
        <v>453.00436555367423</v>
      </c>
      <c r="C203" s="156"/>
      <c r="D203" s="26">
        <f>'a（自動）計算用'!G90</f>
        <v>31.936231631986093</v>
      </c>
      <c r="E203" s="26">
        <f t="shared" si="185"/>
        <v>21.283899209347762</v>
      </c>
      <c r="F203" s="26">
        <f t="shared" si="172"/>
        <v>13.302562086893369</v>
      </c>
      <c r="G203" s="26">
        <f t="shared" si="173"/>
        <v>68.785708007824709</v>
      </c>
      <c r="H203" s="26">
        <f t="shared" si="186"/>
        <v>43.969646248621849</v>
      </c>
      <c r="I203" s="26">
        <f t="shared" si="174"/>
        <v>43.34745071641025</v>
      </c>
      <c r="J203" s="27">
        <f t="shared" ref="J203:K203" si="211">J87</f>
        <v>0.62562252385735162</v>
      </c>
      <c r="K203" s="155">
        <f t="shared" si="211"/>
        <v>1634.9557117657275</v>
      </c>
      <c r="L203" s="27">
        <f t="shared" si="176"/>
        <v>915.02615146500659</v>
      </c>
      <c r="M203" s="155">
        <f>'a（自動）計算用'!L90</f>
        <v>0</v>
      </c>
      <c r="N203" s="155">
        <f t="shared" si="177"/>
        <v>453.00436555367423</v>
      </c>
      <c r="O203" s="26">
        <f t="shared" si="188"/>
        <v>21.283899209347762</v>
      </c>
      <c r="P203" s="26">
        <f t="shared" si="178"/>
        <v>13.302562086893369</v>
      </c>
      <c r="Q203" s="26">
        <f t="shared" si="189"/>
        <v>68.785708007824709</v>
      </c>
      <c r="R203" s="26">
        <f t="shared" si="190"/>
        <v>43.969646248621849</v>
      </c>
      <c r="S203" s="26">
        <f t="shared" si="179"/>
        <v>43.34745071641025</v>
      </c>
      <c r="T203" s="27">
        <f t="shared" si="180"/>
        <v>915.02615146500659</v>
      </c>
      <c r="U203" s="27">
        <f t="shared" si="181"/>
        <v>0</v>
      </c>
      <c r="V203" s="27">
        <f t="shared" si="182"/>
        <v>1343.963437380575</v>
      </c>
      <c r="W203" s="27">
        <f t="shared" si="183"/>
        <v>1377.9978210191775</v>
      </c>
      <c r="X203" s="15">
        <f t="shared" si="184"/>
        <v>0.66402583335599641</v>
      </c>
      <c r="Y203" s="15">
        <f t="shared" si="191"/>
        <v>0.66402583335599641</v>
      </c>
    </row>
    <row r="204" spans="1:25">
      <c r="A204" s="14">
        <f>'a（自動）計算用'!D91</f>
        <v>96</v>
      </c>
      <c r="B204" s="156">
        <f>'a（自動）計算用'!F91</f>
        <v>453.00436555367423</v>
      </c>
      <c r="C204" s="156"/>
      <c r="D204" s="26">
        <f>'a（自動）計算用'!G91</f>
        <v>32.012104399044432</v>
      </c>
      <c r="E204" s="26">
        <f t="shared" si="185"/>
        <v>21.283899209347762</v>
      </c>
      <c r="F204" s="26">
        <f t="shared" si="172"/>
        <v>13.331832913635234</v>
      </c>
      <c r="G204" s="26">
        <f t="shared" si="173"/>
        <v>68.959434496616041</v>
      </c>
      <c r="H204" s="26">
        <f t="shared" si="186"/>
        <v>44.025136520160942</v>
      </c>
      <c r="I204" s="26">
        <f t="shared" si="174"/>
        <v>43.40128287415029</v>
      </c>
      <c r="J204" s="27">
        <f t="shared" ref="J204:K204" si="212">J88</f>
        <v>0.6278805019863849</v>
      </c>
      <c r="K204" s="155">
        <f t="shared" si="212"/>
        <v>1632.9164655851594</v>
      </c>
      <c r="L204" s="27">
        <f t="shared" si="176"/>
        <v>919.35565852765865</v>
      </c>
      <c r="M204" s="155">
        <f>'a（自動）計算用'!L91</f>
        <v>0</v>
      </c>
      <c r="N204" s="155">
        <f t="shared" si="177"/>
        <v>453.00436555367423</v>
      </c>
      <c r="O204" s="26">
        <f t="shared" si="188"/>
        <v>21.283899209347762</v>
      </c>
      <c r="P204" s="26">
        <f t="shared" si="178"/>
        <v>13.331832913635234</v>
      </c>
      <c r="Q204" s="26">
        <f t="shared" si="189"/>
        <v>68.959434496616041</v>
      </c>
      <c r="R204" s="26">
        <f t="shared" si="190"/>
        <v>44.025136520160942</v>
      </c>
      <c r="S204" s="26">
        <f t="shared" si="179"/>
        <v>43.40128287415029</v>
      </c>
      <c r="T204" s="27">
        <f t="shared" si="180"/>
        <v>919.35565852765865</v>
      </c>
      <c r="U204" s="27">
        <f t="shared" si="181"/>
        <v>0</v>
      </c>
      <c r="V204" s="27">
        <f t="shared" si="182"/>
        <v>1339.6738993422564</v>
      </c>
      <c r="W204" s="27">
        <f t="shared" si="183"/>
        <v>1382.2783775184359</v>
      </c>
      <c r="X204" s="15">
        <f t="shared" si="184"/>
        <v>0.66510167089363792</v>
      </c>
      <c r="Y204" s="15">
        <f t="shared" si="191"/>
        <v>0.66510167089363792</v>
      </c>
    </row>
    <row r="205" spans="1:25">
      <c r="A205" s="14">
        <f>'a（自動）計算用'!D92</f>
        <v>97</v>
      </c>
      <c r="B205" s="156">
        <f>'a（自動）計算用'!F92</f>
        <v>453.00436555367423</v>
      </c>
      <c r="C205" s="156"/>
      <c r="D205" s="26">
        <f>'a（自動）計算用'!G92</f>
        <v>32.085961050702814</v>
      </c>
      <c r="E205" s="26">
        <f t="shared" si="185"/>
        <v>21.283899209347762</v>
      </c>
      <c r="F205" s="26">
        <f t="shared" si="172"/>
        <v>13.360325946619845</v>
      </c>
      <c r="G205" s="26">
        <f t="shared" si="173"/>
        <v>69.128375143660321</v>
      </c>
      <c r="H205" s="26">
        <f t="shared" si="186"/>
        <v>44.079031142360527</v>
      </c>
      <c r="I205" s="26">
        <f t="shared" si="174"/>
        <v>43.453564308337434</v>
      </c>
      <c r="J205" s="27">
        <f t="shared" ref="J205:K205" si="213">J89</f>
        <v>0.63008033210261061</v>
      </c>
      <c r="K205" s="155">
        <f t="shared" si="213"/>
        <v>1630.9346208424913</v>
      </c>
      <c r="L205" s="27">
        <f t="shared" si="176"/>
        <v>923.57762407951543</v>
      </c>
      <c r="M205" s="155">
        <f>'a（自動）計算用'!L92</f>
        <v>0</v>
      </c>
      <c r="N205" s="155">
        <f t="shared" si="177"/>
        <v>453.00436555367423</v>
      </c>
      <c r="O205" s="26">
        <f t="shared" si="188"/>
        <v>21.283899209347762</v>
      </c>
      <c r="P205" s="26">
        <f t="shared" si="178"/>
        <v>13.360325946619845</v>
      </c>
      <c r="Q205" s="26">
        <f t="shared" si="189"/>
        <v>69.128375143660321</v>
      </c>
      <c r="R205" s="26">
        <f t="shared" si="190"/>
        <v>44.079031142360527</v>
      </c>
      <c r="S205" s="26">
        <f t="shared" si="179"/>
        <v>43.453564308337434</v>
      </c>
      <c r="T205" s="27">
        <f t="shared" si="180"/>
        <v>923.57762407951543</v>
      </c>
      <c r="U205" s="27">
        <f t="shared" si="181"/>
        <v>0</v>
      </c>
      <c r="V205" s="27">
        <f t="shared" si="182"/>
        <v>1335.5212028987066</v>
      </c>
      <c r="W205" s="27">
        <f t="shared" si="183"/>
        <v>1386.4481829065016</v>
      </c>
      <c r="X205" s="15">
        <f t="shared" si="184"/>
        <v>0.66614651414044157</v>
      </c>
      <c r="Y205" s="15">
        <f t="shared" si="191"/>
        <v>0.66614651414044157</v>
      </c>
    </row>
    <row r="206" spans="1:25">
      <c r="A206" s="14">
        <f>'a（自動）計算用'!D93</f>
        <v>98</v>
      </c>
      <c r="B206" s="156">
        <f>'a（自動）計算用'!F93</f>
        <v>453.00436555367423</v>
      </c>
      <c r="C206" s="156"/>
      <c r="D206" s="26">
        <f>'a（自動）計算用'!G93</f>
        <v>32.157855380669837</v>
      </c>
      <c r="E206" s="26">
        <f t="shared" si="185"/>
        <v>21.283899209347762</v>
      </c>
      <c r="F206" s="26">
        <f t="shared" si="172"/>
        <v>13.388061938831241</v>
      </c>
      <c r="G206" s="26">
        <f t="shared" si="173"/>
        <v>69.292666427095554</v>
      </c>
      <c r="H206" s="26">
        <f t="shared" si="186"/>
        <v>44.131379421579183</v>
      </c>
      <c r="I206" s="26">
        <f t="shared" si="174"/>
        <v>43.504343078514694</v>
      </c>
      <c r="J206" s="27">
        <f t="shared" ref="J206:K206" si="214">J90</f>
        <v>0.63222346490604076</v>
      </c>
      <c r="K206" s="155">
        <f t="shared" si="214"/>
        <v>1629.0084759869121</v>
      </c>
      <c r="L206" s="27">
        <f t="shared" si="176"/>
        <v>927.69451003272741</v>
      </c>
      <c r="M206" s="155">
        <f>'a（自動）計算用'!L93</f>
        <v>0</v>
      </c>
      <c r="N206" s="155">
        <f t="shared" si="177"/>
        <v>453.00436555367423</v>
      </c>
      <c r="O206" s="26">
        <f t="shared" si="188"/>
        <v>21.283899209347762</v>
      </c>
      <c r="P206" s="26">
        <f t="shared" si="178"/>
        <v>13.388061938831241</v>
      </c>
      <c r="Q206" s="26">
        <f t="shared" si="189"/>
        <v>69.292666427095554</v>
      </c>
      <c r="R206" s="26">
        <f t="shared" si="190"/>
        <v>44.131379421579183</v>
      </c>
      <c r="S206" s="26">
        <f t="shared" si="179"/>
        <v>43.504343078514694</v>
      </c>
      <c r="T206" s="27">
        <f t="shared" si="180"/>
        <v>927.69451003272741</v>
      </c>
      <c r="U206" s="27">
        <f t="shared" si="181"/>
        <v>0</v>
      </c>
      <c r="V206" s="27">
        <f t="shared" si="182"/>
        <v>1331.5003343749452</v>
      </c>
      <c r="W206" s="27">
        <f t="shared" si="183"/>
        <v>1390.510031092708</v>
      </c>
      <c r="X206" s="15">
        <f t="shared" si="184"/>
        <v>0.66716132159342634</v>
      </c>
      <c r="Y206" s="15">
        <f t="shared" si="191"/>
        <v>0.66716132159342634</v>
      </c>
    </row>
    <row r="207" spans="1:25">
      <c r="A207" s="14">
        <f>'a（自動）計算用'!D94</f>
        <v>99</v>
      </c>
      <c r="B207" s="156">
        <f>'a（自動）計算用'!F94</f>
        <v>453.00436555367423</v>
      </c>
      <c r="C207" s="156"/>
      <c r="D207" s="26">
        <f>'a（自動）計算用'!G94</f>
        <v>32.227839725188701</v>
      </c>
      <c r="E207" s="26">
        <f t="shared" si="185"/>
        <v>21.283899209347762</v>
      </c>
      <c r="F207" s="26">
        <f t="shared" si="172"/>
        <v>13.415061080980355</v>
      </c>
      <c r="G207" s="26">
        <f t="shared" si="173"/>
        <v>69.452440681039093</v>
      </c>
      <c r="H207" s="26">
        <f t="shared" si="186"/>
        <v>44.182228946517746</v>
      </c>
      <c r="I207" s="26">
        <f t="shared" si="174"/>
        <v>43.553665563076713</v>
      </c>
      <c r="J207" s="27">
        <f t="shared" ref="J207:K207" si="215">J91</f>
        <v>0.63431131735191104</v>
      </c>
      <c r="K207" s="155">
        <f t="shared" si="215"/>
        <v>1627.1363844991058</v>
      </c>
      <c r="L207" s="27">
        <f t="shared" si="176"/>
        <v>931.70873395930425</v>
      </c>
      <c r="M207" s="155">
        <f>'a（自動）計算用'!L94</f>
        <v>0</v>
      </c>
      <c r="N207" s="155">
        <f t="shared" si="177"/>
        <v>453.00436555367423</v>
      </c>
      <c r="O207" s="26">
        <f t="shared" si="188"/>
        <v>21.283899209347762</v>
      </c>
      <c r="P207" s="26">
        <f t="shared" si="178"/>
        <v>13.415061080980355</v>
      </c>
      <c r="Q207" s="26">
        <f t="shared" si="189"/>
        <v>69.452440681039093</v>
      </c>
      <c r="R207" s="26">
        <f t="shared" si="190"/>
        <v>44.182228946517746</v>
      </c>
      <c r="S207" s="26">
        <f t="shared" si="179"/>
        <v>43.553665563076713</v>
      </c>
      <c r="T207" s="27">
        <f t="shared" si="180"/>
        <v>931.70873395930425</v>
      </c>
      <c r="U207" s="27">
        <f t="shared" si="181"/>
        <v>0</v>
      </c>
      <c r="V207" s="27">
        <f t="shared" si="182"/>
        <v>1327.6065011448045</v>
      </c>
      <c r="W207" s="27">
        <f t="shared" si="183"/>
        <v>1394.4666490284485</v>
      </c>
      <c r="X207" s="15">
        <f t="shared" si="184"/>
        <v>0.66814701850950931</v>
      </c>
      <c r="Y207" s="15">
        <f t="shared" si="191"/>
        <v>0.66814701850950931</v>
      </c>
    </row>
    <row r="208" spans="1:25">
      <c r="A208" s="14">
        <f>'a（自動）計算用'!D95</f>
        <v>100</v>
      </c>
      <c r="B208" s="156">
        <f>'a（自動）計算用'!F95</f>
        <v>453.00436555367423</v>
      </c>
      <c r="C208" s="156"/>
      <c r="D208" s="26">
        <f>'a（自動）計算用'!G95</f>
        <v>32.295965004303454</v>
      </c>
      <c r="E208" s="26">
        <f t="shared" si="185"/>
        <v>21.283899209347762</v>
      </c>
      <c r="F208" s="26">
        <f t="shared" si="172"/>
        <v>13.44134301742503</v>
      </c>
      <c r="G208" s="26">
        <f t="shared" si="173"/>
        <v>69.607826234459139</v>
      </c>
      <c r="H208" s="26">
        <f t="shared" si="186"/>
        <v>44.231625658896142</v>
      </c>
      <c r="I208" s="26">
        <f t="shared" si="174"/>
        <v>43.601576528755324</v>
      </c>
      <c r="J208" s="27">
        <f t="shared" ref="J208:K208" si="216">J92</f>
        <v>0.63634527329650836</v>
      </c>
      <c r="K208" s="155">
        <f t="shared" si="216"/>
        <v>1625.3167528764632</v>
      </c>
      <c r="L208" s="27">
        <f t="shared" si="176"/>
        <v>935.62266911468214</v>
      </c>
      <c r="M208" s="155">
        <f>'a（自動）計算用'!L95</f>
        <v>0</v>
      </c>
      <c r="N208" s="155">
        <f t="shared" si="177"/>
        <v>453.00436555367423</v>
      </c>
      <c r="O208" s="26">
        <f t="shared" si="188"/>
        <v>21.283899209347762</v>
      </c>
      <c r="P208" s="26">
        <f t="shared" si="178"/>
        <v>13.44134301742503</v>
      </c>
      <c r="Q208" s="26">
        <f t="shared" si="189"/>
        <v>69.607826234459139</v>
      </c>
      <c r="R208" s="26">
        <f t="shared" si="190"/>
        <v>44.231625658896142</v>
      </c>
      <c r="S208" s="26">
        <f t="shared" si="179"/>
        <v>43.601576528755324</v>
      </c>
      <c r="T208" s="27">
        <f t="shared" si="180"/>
        <v>935.62266911468214</v>
      </c>
      <c r="U208" s="27">
        <f t="shared" si="181"/>
        <v>0</v>
      </c>
      <c r="V208" s="27">
        <f t="shared" si="182"/>
        <v>1323.8351197552381</v>
      </c>
      <c r="W208" s="27">
        <f t="shared" si="183"/>
        <v>1398.3206981288454</v>
      </c>
      <c r="X208" s="15">
        <f t="shared" si="184"/>
        <v>0.66910449825042284</v>
      </c>
      <c r="Y208" s="15">
        <f t="shared" si="191"/>
        <v>0.66910449825042284</v>
      </c>
    </row>
    <row r="209" spans="1:25">
      <c r="A209" s="14">
        <f>'a（自動）計算用'!D96</f>
        <v>101</v>
      </c>
      <c r="B209" s="156">
        <f>'a（自動）計算用'!F96</f>
        <v>453.00436555367423</v>
      </c>
      <c r="C209" s="156"/>
      <c r="D209" s="26">
        <f>'a（自動）計算用'!G96</f>
        <v>32.362280761840779</v>
      </c>
      <c r="E209" s="26">
        <f t="shared" si="185"/>
        <v>21.283899209347762</v>
      </c>
      <c r="F209" s="26">
        <f t="shared" si="172"/>
        <v>13.466926861594549</v>
      </c>
      <c r="G209" s="26">
        <f t="shared" si="173"/>
        <v>69.758947544811733</v>
      </c>
      <c r="H209" s="26">
        <f t="shared" si="186"/>
        <v>44.279613920643627</v>
      </c>
      <c r="I209" s="26">
        <f t="shared" si="174"/>
        <v>43.648119196664787</v>
      </c>
      <c r="J209" s="27">
        <f t="shared" ref="J209:K209" si="217">J93</f>
        <v>0.63832668414017169</v>
      </c>
      <c r="K209" s="155">
        <f t="shared" si="217"/>
        <v>1623.5480387027362</v>
      </c>
      <c r="L209" s="27">
        <f t="shared" si="176"/>
        <v>939.43864452779019</v>
      </c>
      <c r="M209" s="155">
        <f>'a（自動）計算用'!L96</f>
        <v>0</v>
      </c>
      <c r="N209" s="155">
        <f t="shared" si="177"/>
        <v>453.00436555367423</v>
      </c>
      <c r="O209" s="26">
        <f t="shared" si="188"/>
        <v>21.283899209347762</v>
      </c>
      <c r="P209" s="26">
        <f t="shared" si="178"/>
        <v>13.466926861594549</v>
      </c>
      <c r="Q209" s="26">
        <f t="shared" si="189"/>
        <v>69.758947544811733</v>
      </c>
      <c r="R209" s="26">
        <f t="shared" si="190"/>
        <v>44.279613920643627</v>
      </c>
      <c r="S209" s="26">
        <f t="shared" si="179"/>
        <v>43.648119196664787</v>
      </c>
      <c r="T209" s="27">
        <f t="shared" si="180"/>
        <v>939.43864452779019</v>
      </c>
      <c r="U209" s="27">
        <f t="shared" si="181"/>
        <v>0</v>
      </c>
      <c r="V209" s="27">
        <f t="shared" si="182"/>
        <v>1320.1818048104608</v>
      </c>
      <c r="W209" s="27">
        <f t="shared" si="183"/>
        <v>1402.0747756755693</v>
      </c>
      <c r="X209" s="15">
        <f t="shared" si="184"/>
        <v>0.67003462356359378</v>
      </c>
      <c r="Y209" s="15">
        <f t="shared" si="191"/>
        <v>0.67003462356359378</v>
      </c>
    </row>
    <row r="210" spans="1:25">
      <c r="A210" s="14">
        <f>'a（自動）計算用'!D97</f>
        <v>102</v>
      </c>
      <c r="B210" s="156">
        <f>'a（自動）計算用'!F97</f>
        <v>453.00436555367423</v>
      </c>
      <c r="C210" s="156"/>
      <c r="D210" s="26">
        <f>'a（自動）計算用'!G97</f>
        <v>32.426835204152212</v>
      </c>
      <c r="E210" s="26">
        <f t="shared" si="185"/>
        <v>21.283899209347762</v>
      </c>
      <c r="F210" s="26">
        <f t="shared" si="172"/>
        <v>13.491831210935898</v>
      </c>
      <c r="G210" s="26">
        <f t="shared" si="173"/>
        <v>69.905925326655932</v>
      </c>
      <c r="H210" s="26">
        <f t="shared" si="186"/>
        <v>44.326236577803506</v>
      </c>
      <c r="I210" s="26">
        <f t="shared" si="174"/>
        <v>43.693335305105641</v>
      </c>
      <c r="J210" s="27">
        <f t="shared" ref="J210:K210" si="218">J94</f>
        <v>0.64025686946656124</v>
      </c>
      <c r="K210" s="155">
        <f t="shared" si="218"/>
        <v>1621.8287487982466</v>
      </c>
      <c r="L210" s="27">
        <f t="shared" si="176"/>
        <v>943.1589451515307</v>
      </c>
      <c r="M210" s="155">
        <f>'a（自動）計算用'!L97</f>
        <v>0</v>
      </c>
      <c r="N210" s="155">
        <f t="shared" si="177"/>
        <v>453.00436555367423</v>
      </c>
      <c r="O210" s="26">
        <f t="shared" si="188"/>
        <v>21.283899209347762</v>
      </c>
      <c r="P210" s="26">
        <f t="shared" si="178"/>
        <v>13.491831210935898</v>
      </c>
      <c r="Q210" s="26">
        <f t="shared" si="189"/>
        <v>69.905925326655932</v>
      </c>
      <c r="R210" s="26">
        <f t="shared" si="190"/>
        <v>44.326236577803506</v>
      </c>
      <c r="S210" s="26">
        <f t="shared" si="179"/>
        <v>43.693335305105641</v>
      </c>
      <c r="T210" s="27">
        <f t="shared" si="180"/>
        <v>943.1589451515307</v>
      </c>
      <c r="U210" s="27">
        <f t="shared" si="181"/>
        <v>0</v>
      </c>
      <c r="V210" s="27">
        <f t="shared" si="182"/>
        <v>1316.6423585599196</v>
      </c>
      <c r="W210" s="27">
        <f t="shared" si="183"/>
        <v>1405.7314162000846</v>
      </c>
      <c r="X210" s="15">
        <f t="shared" si="184"/>
        <v>0.67093822780246259</v>
      </c>
      <c r="Y210" s="15">
        <f t="shared" si="191"/>
        <v>0.67093822780246259</v>
      </c>
    </row>
    <row r="211" spans="1:25">
      <c r="A211" s="14">
        <f>'a（自動）計算用'!D98</f>
        <v>103</v>
      </c>
      <c r="B211" s="156">
        <f>'a（自動）計算用'!F98</f>
        <v>453.00436555367423</v>
      </c>
      <c r="C211" s="156"/>
      <c r="D211" s="26">
        <f>'a（自動）計算用'!G98</f>
        <v>32.489675237659988</v>
      </c>
      <c r="E211" s="26">
        <f t="shared" si="185"/>
        <v>21.283899209347762</v>
      </c>
      <c r="F211" s="26">
        <f t="shared" si="172"/>
        <v>13.51607416139854</v>
      </c>
      <c r="G211" s="26">
        <f t="shared" si="173"/>
        <v>70.048876675449904</v>
      </c>
      <c r="H211" s="26">
        <f t="shared" si="186"/>
        <v>44.37153502133954</v>
      </c>
      <c r="I211" s="26">
        <f t="shared" si="174"/>
        <v>43.737265169312209</v>
      </c>
      <c r="J211" s="27">
        <f t="shared" ref="J211:K211" si="219">J95</f>
        <v>0.64213711767738635</v>
      </c>
      <c r="K211" s="155">
        <f t="shared" si="219"/>
        <v>1620.1574374469444</v>
      </c>
      <c r="L211" s="27">
        <f t="shared" si="176"/>
        <v>946.78581206804131</v>
      </c>
      <c r="M211" s="155">
        <f>'a（自動）計算用'!L98</f>
        <v>0</v>
      </c>
      <c r="N211" s="155">
        <f t="shared" si="177"/>
        <v>453.00436555367423</v>
      </c>
      <c r="O211" s="26">
        <f t="shared" si="188"/>
        <v>21.283899209347762</v>
      </c>
      <c r="P211" s="26">
        <f t="shared" si="178"/>
        <v>13.51607416139854</v>
      </c>
      <c r="Q211" s="26">
        <f t="shared" si="189"/>
        <v>70.048876675449904</v>
      </c>
      <c r="R211" s="26">
        <f t="shared" si="190"/>
        <v>44.37153502133954</v>
      </c>
      <c r="S211" s="26">
        <f t="shared" si="179"/>
        <v>43.737265169312209</v>
      </c>
      <c r="T211" s="27">
        <f t="shared" si="180"/>
        <v>946.78581206804131</v>
      </c>
      <c r="U211" s="27">
        <f t="shared" si="181"/>
        <v>0</v>
      </c>
      <c r="V211" s="27">
        <f t="shared" si="182"/>
        <v>1313.2127611387202</v>
      </c>
      <c r="W211" s="27">
        <f t="shared" si="183"/>
        <v>1409.2930928466874</v>
      </c>
      <c r="X211" s="15">
        <f t="shared" si="184"/>
        <v>0.67181611608951464</v>
      </c>
      <c r="Y211" s="15">
        <f t="shared" si="191"/>
        <v>0.67181611608951464</v>
      </c>
    </row>
    <row r="212" spans="1:25">
      <c r="A212" s="14">
        <f>'a（自動）計算用'!D99</f>
        <v>104</v>
      </c>
      <c r="B212" s="156">
        <f>'a（自動）計算用'!F99</f>
        <v>453.00436555367423</v>
      </c>
      <c r="C212" s="156"/>
      <c r="D212" s="26">
        <f>'a（自動）計算用'!G99</f>
        <v>32.550846505248529</v>
      </c>
      <c r="E212" s="26">
        <f t="shared" si="185"/>
        <v>21.283899209347762</v>
      </c>
      <c r="F212" s="26">
        <f t="shared" si="172"/>
        <v>13.539673321473826</v>
      </c>
      <c r="G212" s="26">
        <f t="shared" si="173"/>
        <v>70.187915186724993</v>
      </c>
      <c r="H212" s="26">
        <f t="shared" si="186"/>
        <v>44.415549245020131</v>
      </c>
      <c r="I212" s="26">
        <f t="shared" si="174"/>
        <v>43.779947738318036</v>
      </c>
      <c r="J212" s="27">
        <f t="shared" ref="J212:K212" si="220">J96</f>
        <v>0.64396868662187978</v>
      </c>
      <c r="K212" s="155">
        <f t="shared" si="220"/>
        <v>1618.5327046967875</v>
      </c>
      <c r="L212" s="27">
        <f t="shared" si="176"/>
        <v>950.3214427435679</v>
      </c>
      <c r="M212" s="155">
        <f>'a（自動）計算用'!L99</f>
        <v>0</v>
      </c>
      <c r="N212" s="155">
        <f t="shared" si="177"/>
        <v>453.00436555367423</v>
      </c>
      <c r="O212" s="26">
        <f t="shared" si="188"/>
        <v>21.283899209347762</v>
      </c>
      <c r="P212" s="26">
        <f t="shared" si="178"/>
        <v>13.539673321473826</v>
      </c>
      <c r="Q212" s="26">
        <f t="shared" si="189"/>
        <v>70.187915186724993</v>
      </c>
      <c r="R212" s="26">
        <f t="shared" si="190"/>
        <v>44.415549245020131</v>
      </c>
      <c r="S212" s="26">
        <f t="shared" si="179"/>
        <v>43.779947738318036</v>
      </c>
      <c r="T212" s="27">
        <f t="shared" si="180"/>
        <v>950.3214427435679</v>
      </c>
      <c r="U212" s="27">
        <f t="shared" si="181"/>
        <v>0</v>
      </c>
      <c r="V212" s="27">
        <f t="shared" si="182"/>
        <v>1309.889161413369</v>
      </c>
      <c r="W212" s="27">
        <f t="shared" si="183"/>
        <v>1412.7622187148331</v>
      </c>
      <c r="X212" s="15">
        <f t="shared" si="184"/>
        <v>0.67266906642510582</v>
      </c>
      <c r="Y212" s="15">
        <f t="shared" si="191"/>
        <v>0.67266906642510582</v>
      </c>
    </row>
    <row r="213" spans="1:25">
      <c r="A213" s="14">
        <f>'a（自動）計算用'!D100</f>
        <v>105</v>
      </c>
      <c r="B213" s="156">
        <f>'a（自動）計算用'!F100</f>
        <v>453.00436555367423</v>
      </c>
      <c r="C213" s="156"/>
      <c r="D213" s="26">
        <f>'a（自動）計算用'!G100</f>
        <v>32.610393421542035</v>
      </c>
      <c r="E213" s="26">
        <f t="shared" si="185"/>
        <v>21.283899209347762</v>
      </c>
      <c r="F213" s="26">
        <f t="shared" si="172"/>
        <v>13.562645825804655</v>
      </c>
      <c r="G213" s="26">
        <f t="shared" si="173"/>
        <v>70.323151070827564</v>
      </c>
      <c r="H213" s="26">
        <f t="shared" si="186"/>
        <v>44.458317900545005</v>
      </c>
      <c r="I213" s="26">
        <f t="shared" si="174"/>
        <v>43.82142064910196</v>
      </c>
      <c r="J213" s="27">
        <f t="shared" ref="J213:K213" si="221">J97</f>
        <v>0.64575280422041326</v>
      </c>
      <c r="K213" s="155">
        <f t="shared" si="221"/>
        <v>1616.9531947300475</v>
      </c>
      <c r="L213" s="27">
        <f t="shared" si="176"/>
        <v>953.76799132818962</v>
      </c>
      <c r="M213" s="155">
        <f>'a（自動）計算用'!L100</f>
        <v>0</v>
      </c>
      <c r="N213" s="155">
        <f t="shared" si="177"/>
        <v>453.00436555367423</v>
      </c>
      <c r="O213" s="26">
        <f t="shared" si="188"/>
        <v>21.283899209347762</v>
      </c>
      <c r="P213" s="26">
        <f t="shared" si="178"/>
        <v>13.562645825804655</v>
      </c>
      <c r="Q213" s="26">
        <f t="shared" si="189"/>
        <v>70.323151070827564</v>
      </c>
      <c r="R213" s="26">
        <f t="shared" si="190"/>
        <v>44.458317900545005</v>
      </c>
      <c r="S213" s="26">
        <f t="shared" si="179"/>
        <v>43.82142064910196</v>
      </c>
      <c r="T213" s="27">
        <f t="shared" si="180"/>
        <v>953.76799132818962</v>
      </c>
      <c r="U213" s="27">
        <f t="shared" si="181"/>
        <v>0</v>
      </c>
      <c r="V213" s="27">
        <f t="shared" si="182"/>
        <v>1306.66786838948</v>
      </c>
      <c r="W213" s="27">
        <f t="shared" si="183"/>
        <v>1416.1411481803698</v>
      </c>
      <c r="X213" s="15">
        <f t="shared" si="184"/>
        <v>0.67349783074498371</v>
      </c>
      <c r="Y213" s="15">
        <f t="shared" si="191"/>
        <v>0.67349783074498371</v>
      </c>
    </row>
    <row r="214" spans="1:25">
      <c r="A214" s="14">
        <f>'a（自動）計算用'!D101</f>
        <v>106</v>
      </c>
      <c r="B214" s="156">
        <f>'a（自動）計算用'!F101</f>
        <v>453.00436555367423</v>
      </c>
      <c r="C214" s="156"/>
      <c r="D214" s="26">
        <f>'a（自動）計算用'!G101</f>
        <v>32.668359207107322</v>
      </c>
      <c r="E214" s="26">
        <f t="shared" si="185"/>
        <v>21.283899209347762</v>
      </c>
      <c r="F214" s="26">
        <f t="shared" ref="F214:F228" si="222">$AB$11+$AB$12*D214+$AB$13*E214*D214/100</f>
        <v>13.585008348380548</v>
      </c>
      <c r="G214" s="26">
        <f t="shared" ref="G214:G228" si="223">L214/F214</f>
        <v>70.454691263409146</v>
      </c>
      <c r="H214" s="26">
        <f t="shared" si="186"/>
        <v>44.49987835006803</v>
      </c>
      <c r="I214" s="26">
        <f t="shared" ref="I214:I228" si="224">$AB$15+$AB$16*H214+$AB$17*E214*D214/100</f>
        <v>43.861720278166928</v>
      </c>
      <c r="J214" s="27">
        <f t="shared" ref="J214:K214" si="225">J98</f>
        <v>0.64749066908170405</v>
      </c>
      <c r="K214" s="155">
        <f t="shared" si="225"/>
        <v>1615.4175943003406</v>
      </c>
      <c r="L214" s="27">
        <f t="shared" ref="L214:L228" si="226">($AB$2*D214^$AB$3+$AB$4*D214^$AB$5/B214)^-1</f>
        <v>957.12756899598719</v>
      </c>
      <c r="M214" s="155">
        <f>'a（自動）計算用'!L101</f>
        <v>0</v>
      </c>
      <c r="N214" s="155">
        <f t="shared" ref="N214:N228" si="227">B214-M214</f>
        <v>453.00436555367423</v>
      </c>
      <c r="O214" s="26">
        <f t="shared" si="188"/>
        <v>21.283899209347762</v>
      </c>
      <c r="P214" s="26">
        <f t="shared" ref="P214:P228" si="228">$AB$11+$AB$12*D214+$AB$13*O214*D214/100</f>
        <v>13.585008348380548</v>
      </c>
      <c r="Q214" s="26">
        <f t="shared" si="189"/>
        <v>70.454691263409146</v>
      </c>
      <c r="R214" s="26">
        <f t="shared" si="190"/>
        <v>44.49987835006803</v>
      </c>
      <c r="S214" s="26">
        <f t="shared" ref="S214:S228" si="229">$AB$15+$AB$16*R214+$AB$17*O214*D214/100</f>
        <v>43.861720278166928</v>
      </c>
      <c r="T214" s="27">
        <f t="shared" ref="T214:T228" si="230">($AB$2*D214^$AB$3+$AB$4*D214^$AB$5/N214)^-1</f>
        <v>957.12756899598719</v>
      </c>
      <c r="U214" s="27">
        <f t="shared" ref="U214:U228" si="231">L214-T214</f>
        <v>0</v>
      </c>
      <c r="V214" s="27">
        <f t="shared" ref="V214:V228" si="232">$AB$22*D214^$AB$21</f>
        <v>1303.5453431416138</v>
      </c>
      <c r="W214" s="27">
        <f t="shared" ref="W214:W228" si="233">($AB$2*D214^$AB$3+$AB$4*D214^$AB$5/V214)^-1</f>
        <v>1419.4321781953433</v>
      </c>
      <c r="X214" s="15">
        <f t="shared" ref="X214:X228" si="234">L214/W214</f>
        <v>0.67430313592923674</v>
      </c>
      <c r="Y214" s="15">
        <f t="shared" si="191"/>
        <v>0.67430313592923674</v>
      </c>
    </row>
    <row r="215" spans="1:25">
      <c r="A215" s="14">
        <f>'a（自動）計算用'!D102</f>
        <v>107</v>
      </c>
      <c r="B215" s="156">
        <f>'a（自動）計算用'!F102</f>
        <v>453.00436555367423</v>
      </c>
      <c r="C215" s="156"/>
      <c r="D215" s="26">
        <f>'a（自動）計算用'!G102</f>
        <v>32.724785921619691</v>
      </c>
      <c r="E215" s="26">
        <f t="shared" si="185"/>
        <v>21.283899209347762</v>
      </c>
      <c r="F215" s="26">
        <f t="shared" si="222"/>
        <v>13.606777115332653</v>
      </c>
      <c r="G215" s="26">
        <f t="shared" si="223"/>
        <v>70.582639531842403</v>
      </c>
      <c r="H215" s="26">
        <f t="shared" si="186"/>
        <v>44.540266716261812</v>
      </c>
      <c r="I215" s="26">
        <f t="shared" si="224"/>
        <v>43.900881790695273</v>
      </c>
      <c r="J215" s="27">
        <f t="shared" ref="J215:K215" si="235">J99</f>
        <v>0.64918345111316733</v>
      </c>
      <c r="K215" s="155">
        <f t="shared" si="235"/>
        <v>1613.9246312332959</v>
      </c>
      <c r="L215" s="27">
        <f t="shared" si="226"/>
        <v>960.40224432164712</v>
      </c>
      <c r="M215" s="155">
        <f>'a（自動）計算用'!L102</f>
        <v>0</v>
      </c>
      <c r="N215" s="155">
        <f t="shared" si="227"/>
        <v>453.00436555367423</v>
      </c>
      <c r="O215" s="26">
        <f t="shared" si="188"/>
        <v>21.283899209347762</v>
      </c>
      <c r="P215" s="26">
        <f t="shared" si="228"/>
        <v>13.606777115332653</v>
      </c>
      <c r="Q215" s="26">
        <f t="shared" si="189"/>
        <v>70.582639531842403</v>
      </c>
      <c r="R215" s="26">
        <f t="shared" si="190"/>
        <v>44.540266716261812</v>
      </c>
      <c r="S215" s="26">
        <f t="shared" si="229"/>
        <v>43.900881790695273</v>
      </c>
      <c r="T215" s="27">
        <f t="shared" si="230"/>
        <v>960.40224432164712</v>
      </c>
      <c r="U215" s="27">
        <f t="shared" si="231"/>
        <v>0</v>
      </c>
      <c r="V215" s="27">
        <f t="shared" si="232"/>
        <v>1300.5181912285491</v>
      </c>
      <c r="W215" s="27">
        <f t="shared" si="233"/>
        <v>1422.6375495661941</v>
      </c>
      <c r="X215" s="15">
        <f t="shared" si="234"/>
        <v>0.675085684765247</v>
      </c>
      <c r="Y215" s="15">
        <f t="shared" si="191"/>
        <v>0.675085684765247</v>
      </c>
    </row>
    <row r="216" spans="1:25">
      <c r="A216" s="14">
        <f>'a（自動）計算用'!D103</f>
        <v>108</v>
      </c>
      <c r="B216" s="156">
        <f>'a（自動）計算用'!F103</f>
        <v>453.00436555367423</v>
      </c>
      <c r="C216" s="156"/>
      <c r="D216" s="26">
        <f>'a（自動）計算用'!G103</f>
        <v>32.779714496027857</v>
      </c>
      <c r="E216" s="26">
        <f t="shared" si="185"/>
        <v>21.283899209347762</v>
      </c>
      <c r="F216" s="26">
        <f t="shared" si="222"/>
        <v>13.627967917342584</v>
      </c>
      <c r="G216" s="26">
        <f t="shared" si="223"/>
        <v>70.707096577728151</v>
      </c>
      <c r="H216" s="26">
        <f t="shared" si="186"/>
        <v>44.579517930058415</v>
      </c>
      <c r="I216" s="26">
        <f t="shared" si="224"/>
        <v>43.938939187413446</v>
      </c>
      <c r="J216" s="27">
        <f t="shared" ref="J216:K216" si="236">J100</f>
        <v>0.65083229212398408</v>
      </c>
      <c r="K216" s="155">
        <f t="shared" si="236"/>
        <v>1612.4730729879557</v>
      </c>
      <c r="L216" s="27">
        <f t="shared" si="226"/>
        <v>963.59404368972287</v>
      </c>
      <c r="M216" s="155">
        <f>'a（自動）計算用'!L103</f>
        <v>0</v>
      </c>
      <c r="N216" s="155">
        <f t="shared" si="227"/>
        <v>453.00436555367423</v>
      </c>
      <c r="O216" s="26">
        <f t="shared" si="188"/>
        <v>21.283899209347762</v>
      </c>
      <c r="P216" s="26">
        <f t="shared" si="228"/>
        <v>13.627967917342584</v>
      </c>
      <c r="Q216" s="26">
        <f t="shared" si="189"/>
        <v>70.707096577728151</v>
      </c>
      <c r="R216" s="26">
        <f t="shared" si="190"/>
        <v>44.579517930058415</v>
      </c>
      <c r="S216" s="26">
        <f t="shared" si="229"/>
        <v>43.938939187413446</v>
      </c>
      <c r="T216" s="27">
        <f t="shared" si="230"/>
        <v>963.59404368972287</v>
      </c>
      <c r="U216" s="27">
        <f t="shared" si="231"/>
        <v>0</v>
      </c>
      <c r="V216" s="27">
        <f t="shared" si="232"/>
        <v>1297.5831555602529</v>
      </c>
      <c r="W216" s="27">
        <f t="shared" si="233"/>
        <v>1425.7594482101283</v>
      </c>
      <c r="X216" s="15">
        <f t="shared" si="234"/>
        <v>0.67584615686706528</v>
      </c>
      <c r="Y216" s="15">
        <f t="shared" si="191"/>
        <v>0.67584615686706528</v>
      </c>
    </row>
    <row r="217" spans="1:25">
      <c r="A217" s="14">
        <f>'a（自動）計算用'!D104</f>
        <v>109</v>
      </c>
      <c r="B217" s="156">
        <f>'a（自動）計算用'!F104</f>
        <v>453.00436555367423</v>
      </c>
      <c r="C217" s="156"/>
      <c r="D217" s="26">
        <f>'a（自動）計算用'!G104</f>
        <v>32.833184763753202</v>
      </c>
      <c r="E217" s="26">
        <f t="shared" si="185"/>
        <v>21.283899209347762</v>
      </c>
      <c r="F217" s="26">
        <f t="shared" si="222"/>
        <v>13.648596121678752</v>
      </c>
      <c r="G217" s="26">
        <f t="shared" si="223"/>
        <v>70.82816013565602</v>
      </c>
      <c r="H217" s="26">
        <f t="shared" si="186"/>
        <v>44.617665776194208</v>
      </c>
      <c r="I217" s="26">
        <f t="shared" si="224"/>
        <v>43.975925349292595</v>
      </c>
      <c r="J217" s="27">
        <f t="shared" ref="J217:K217" si="237">J101</f>
        <v>0.65243830642056366</v>
      </c>
      <c r="K217" s="155">
        <f t="shared" si="237"/>
        <v>1611.0617252761119</v>
      </c>
      <c r="L217" s="27">
        <f t="shared" si="226"/>
        <v>966.70495173315635</v>
      </c>
      <c r="M217" s="155">
        <f>'a（自動）計算用'!L104</f>
        <v>0</v>
      </c>
      <c r="N217" s="155">
        <f t="shared" si="227"/>
        <v>453.00436555367423</v>
      </c>
      <c r="O217" s="26">
        <f t="shared" si="188"/>
        <v>21.283899209347762</v>
      </c>
      <c r="P217" s="26">
        <f t="shared" si="228"/>
        <v>13.648596121678752</v>
      </c>
      <c r="Q217" s="26">
        <f t="shared" si="189"/>
        <v>70.82816013565602</v>
      </c>
      <c r="R217" s="26">
        <f t="shared" si="190"/>
        <v>44.617665776194208</v>
      </c>
      <c r="S217" s="26">
        <f t="shared" si="229"/>
        <v>43.975925349292595</v>
      </c>
      <c r="T217" s="27">
        <f t="shared" si="230"/>
        <v>966.70495173315635</v>
      </c>
      <c r="U217" s="27">
        <f t="shared" si="231"/>
        <v>0</v>
      </c>
      <c r="V217" s="27">
        <f t="shared" si="232"/>
        <v>1294.7371096853851</v>
      </c>
      <c r="W217" s="27">
        <f t="shared" si="233"/>
        <v>1428.800006389622</v>
      </c>
      <c r="X217" s="15">
        <f t="shared" si="234"/>
        <v>0.67658520955349422</v>
      </c>
      <c r="Y217" s="15">
        <f t="shared" si="191"/>
        <v>0.67658520955349422</v>
      </c>
    </row>
    <row r="218" spans="1:25">
      <c r="A218" s="14">
        <f>'a（自動）計算用'!D105</f>
        <v>110</v>
      </c>
      <c r="B218" s="156">
        <f>'a（自動）計算用'!F105</f>
        <v>453.00436555367423</v>
      </c>
      <c r="C218" s="156"/>
      <c r="D218" s="26">
        <f>'a（自動）計算用'!G105</f>
        <v>32.885235490956617</v>
      </c>
      <c r="E218" s="26">
        <f t="shared" si="185"/>
        <v>21.283899209347762</v>
      </c>
      <c r="F218" s="26">
        <f t="shared" si="222"/>
        <v>13.668676683872926</v>
      </c>
      <c r="G218" s="26">
        <f t="shared" si="223"/>
        <v>70.945925068372603</v>
      </c>
      <c r="H218" s="26">
        <f t="shared" si="186"/>
        <v>44.654742936677607</v>
      </c>
      <c r="I218" s="26">
        <f t="shared" si="224"/>
        <v>44.011872080202394</v>
      </c>
      <c r="J218" s="27">
        <f t="shared" ref="J218:K218" si="238">J102</f>
        <v>0.65400258139408884</v>
      </c>
      <c r="K218" s="155">
        <f t="shared" si="238"/>
        <v>1609.6894307369373</v>
      </c>
      <c r="L218" s="27">
        <f t="shared" si="226"/>
        <v>969.73691179786033</v>
      </c>
      <c r="M218" s="155">
        <f>'a（自動）計算用'!L105</f>
        <v>0</v>
      </c>
      <c r="N218" s="155">
        <f t="shared" si="227"/>
        <v>453.00436555367423</v>
      </c>
      <c r="O218" s="26">
        <f t="shared" si="188"/>
        <v>21.283899209347762</v>
      </c>
      <c r="P218" s="26">
        <f t="shared" si="228"/>
        <v>13.668676683872926</v>
      </c>
      <c r="Q218" s="26">
        <f t="shared" si="189"/>
        <v>70.945925068372603</v>
      </c>
      <c r="R218" s="26">
        <f t="shared" si="190"/>
        <v>44.654742936677607</v>
      </c>
      <c r="S218" s="26">
        <f t="shared" si="229"/>
        <v>44.011872080202394</v>
      </c>
      <c r="T218" s="27">
        <f t="shared" si="230"/>
        <v>969.73691179786033</v>
      </c>
      <c r="U218" s="27">
        <f t="shared" si="231"/>
        <v>0</v>
      </c>
      <c r="V218" s="27">
        <f t="shared" si="232"/>
        <v>1291.9770514706329</v>
      </c>
      <c r="W218" s="27">
        <f t="shared" si="233"/>
        <v>1431.761303924977</v>
      </c>
      <c r="X218" s="15">
        <f t="shared" si="234"/>
        <v>0.67730347868702678</v>
      </c>
      <c r="Y218" s="15">
        <f t="shared" si="191"/>
        <v>0.67730347868702678</v>
      </c>
    </row>
    <row r="219" spans="1:25">
      <c r="A219" s="14">
        <f>'a（自動）計算用'!D106</f>
        <v>111</v>
      </c>
      <c r="B219" s="156">
        <f>'a（自動）計算用'!F106</f>
        <v>453.00436555367423</v>
      </c>
      <c r="C219" s="156"/>
      <c r="D219" s="26">
        <f>'a（自動）計算用'!G106</f>
        <v>32.935904405905355</v>
      </c>
      <c r="E219" s="26">
        <f t="shared" si="185"/>
        <v>21.283899209347762</v>
      </c>
      <c r="F219" s="26">
        <f t="shared" si="222"/>
        <v>13.688224159049657</v>
      </c>
      <c r="G219" s="26">
        <f t="shared" si="223"/>
        <v>71.060483458504692</v>
      </c>
      <c r="H219" s="26">
        <f t="shared" si="186"/>
        <v>44.690781032291795</v>
      </c>
      <c r="I219" s="26">
        <f t="shared" si="224"/>
        <v>44.046810147628854</v>
      </c>
      <c r="J219" s="27">
        <f t="shared" ref="J219:K219" si="239">J103</f>
        <v>0.65552617809990121</v>
      </c>
      <c r="K219" s="155">
        <f t="shared" si="239"/>
        <v>1608.3550676643856</v>
      </c>
      <c r="L219" s="27">
        <f t="shared" si="226"/>
        <v>972.69182643045235</v>
      </c>
      <c r="M219" s="155">
        <f>'a（自動）計算用'!L106</f>
        <v>0</v>
      </c>
      <c r="N219" s="155">
        <f t="shared" si="227"/>
        <v>453.00436555367423</v>
      </c>
      <c r="O219" s="26">
        <f t="shared" si="188"/>
        <v>21.283899209347762</v>
      </c>
      <c r="P219" s="26">
        <f t="shared" si="228"/>
        <v>13.688224159049657</v>
      </c>
      <c r="Q219" s="26">
        <f t="shared" si="189"/>
        <v>71.060483458504692</v>
      </c>
      <c r="R219" s="26">
        <f t="shared" si="190"/>
        <v>44.690781032291795</v>
      </c>
      <c r="S219" s="26">
        <f t="shared" si="229"/>
        <v>44.046810147628854</v>
      </c>
      <c r="T219" s="27">
        <f t="shared" si="230"/>
        <v>972.69182643045235</v>
      </c>
      <c r="U219" s="27">
        <f t="shared" si="231"/>
        <v>0</v>
      </c>
      <c r="V219" s="27">
        <f t="shared" si="232"/>
        <v>1289.3000971453662</v>
      </c>
      <c r="W219" s="27">
        <f t="shared" si="233"/>
        <v>1434.645369384953</v>
      </c>
      <c r="X219" s="15">
        <f t="shared" si="234"/>
        <v>0.67800157947566875</v>
      </c>
      <c r="Y219" s="15">
        <f t="shared" si="191"/>
        <v>0.67800157947566875</v>
      </c>
    </row>
    <row r="220" spans="1:25">
      <c r="A220" s="14">
        <f>'a（自動）計算用'!D107</f>
        <v>112</v>
      </c>
      <c r="B220" s="156">
        <f>'a（自動）計算用'!F107</f>
        <v>453.00436555367423</v>
      </c>
      <c r="C220" s="156"/>
      <c r="D220" s="26">
        <f>'a（自動）計算用'!G107</f>
        <v>32.985228227470728</v>
      </c>
      <c r="E220" s="26">
        <f t="shared" si="185"/>
        <v>21.283899209347762</v>
      </c>
      <c r="F220" s="26">
        <f t="shared" si="222"/>
        <v>13.707252712920331</v>
      </c>
      <c r="G220" s="26">
        <f t="shared" si="223"/>
        <v>71.171924696978849</v>
      </c>
      <c r="H220" s="26">
        <f t="shared" si="186"/>
        <v>44.725810662237329</v>
      </c>
      <c r="I220" s="26">
        <f t="shared" si="224"/>
        <v>44.080769321559785</v>
      </c>
      <c r="J220" s="27">
        <f t="shared" ref="J220:K220" si="240">J104</f>
        <v>0.65701013182850654</v>
      </c>
      <c r="K220" s="155">
        <f t="shared" si="240"/>
        <v>1607.0575487849733</v>
      </c>
      <c r="L220" s="27">
        <f t="shared" si="226"/>
        <v>975.5715578864249</v>
      </c>
      <c r="M220" s="155">
        <f>'a（自動）計算用'!L107</f>
        <v>0</v>
      </c>
      <c r="N220" s="155">
        <f t="shared" si="227"/>
        <v>453.00436555367423</v>
      </c>
      <c r="O220" s="26">
        <f t="shared" si="188"/>
        <v>21.283899209347762</v>
      </c>
      <c r="P220" s="26">
        <f t="shared" si="228"/>
        <v>13.707252712920331</v>
      </c>
      <c r="Q220" s="26">
        <f t="shared" si="189"/>
        <v>71.171924696978849</v>
      </c>
      <c r="R220" s="26">
        <f t="shared" si="190"/>
        <v>44.725810662237329</v>
      </c>
      <c r="S220" s="26">
        <f t="shared" si="229"/>
        <v>44.080769321559785</v>
      </c>
      <c r="T220" s="27">
        <f t="shared" si="230"/>
        <v>975.5715578864249</v>
      </c>
      <c r="U220" s="27">
        <f t="shared" si="231"/>
        <v>0</v>
      </c>
      <c r="V220" s="27">
        <f t="shared" si="232"/>
        <v>1286.7034756871406</v>
      </c>
      <c r="W220" s="27">
        <f t="shared" si="233"/>
        <v>1437.4541812555001</v>
      </c>
      <c r="X220" s="15">
        <f t="shared" si="234"/>
        <v>0.67868010723955174</v>
      </c>
      <c r="Y220" s="15">
        <f t="shared" si="191"/>
        <v>0.67868010723955174</v>
      </c>
    </row>
    <row r="221" spans="1:25">
      <c r="A221" s="14">
        <f>'a（自動）計算用'!D108</f>
        <v>113</v>
      </c>
      <c r="B221" s="156">
        <f>'a（自動）計算用'!F108</f>
        <v>453.00436555367423</v>
      </c>
      <c r="C221" s="156"/>
      <c r="D221" s="26">
        <f>'a（自動）計算用'!G108</f>
        <v>33.033242692786509</v>
      </c>
      <c r="E221" s="26">
        <f t="shared" si="185"/>
        <v>21.283899209347762</v>
      </c>
      <c r="F221" s="26">
        <f t="shared" si="222"/>
        <v>13.725776132453468</v>
      </c>
      <c r="G221" s="26">
        <f t="shared" si="223"/>
        <v>71.280335568272378</v>
      </c>
      <c r="H221" s="26">
        <f t="shared" si="186"/>
        <v>44.759861442013346</v>
      </c>
      <c r="I221" s="26">
        <f t="shared" si="224"/>
        <v>44.113778411635366</v>
      </c>
      <c r="J221" s="27">
        <f t="shared" ref="J221:K221" si="241">J105</f>
        <v>0.65845545266803296</v>
      </c>
      <c r="K221" s="155">
        <f t="shared" si="241"/>
        <v>1605.7958200836542</v>
      </c>
      <c r="L221" s="27">
        <f t="shared" si="226"/>
        <v>978.37792865626704</v>
      </c>
      <c r="M221" s="155">
        <f>'a（自動）計算用'!L108</f>
        <v>0</v>
      </c>
      <c r="N221" s="155">
        <f t="shared" si="227"/>
        <v>453.00436555367423</v>
      </c>
      <c r="O221" s="26">
        <f t="shared" si="188"/>
        <v>21.283899209347762</v>
      </c>
      <c r="P221" s="26">
        <f t="shared" si="228"/>
        <v>13.725776132453468</v>
      </c>
      <c r="Q221" s="26">
        <f t="shared" si="189"/>
        <v>71.280335568272378</v>
      </c>
      <c r="R221" s="26">
        <f t="shared" si="190"/>
        <v>44.759861442013346</v>
      </c>
      <c r="S221" s="26">
        <f t="shared" si="229"/>
        <v>44.113778411635366</v>
      </c>
      <c r="T221" s="27">
        <f t="shared" si="230"/>
        <v>978.37792865626704</v>
      </c>
      <c r="U221" s="27">
        <f t="shared" si="231"/>
        <v>0</v>
      </c>
      <c r="V221" s="27">
        <f t="shared" si="232"/>
        <v>1284.1845235253961</v>
      </c>
      <c r="W221" s="27">
        <f t="shared" si="233"/>
        <v>1440.1896690866847</v>
      </c>
      <c r="X221" s="15">
        <f t="shared" si="234"/>
        <v>0.67933963814413301</v>
      </c>
      <c r="Y221" s="15">
        <f t="shared" si="191"/>
        <v>0.67933963814413301</v>
      </c>
    </row>
    <row r="222" spans="1:25">
      <c r="A222" s="14">
        <f>'a（自動）計算用'!D109</f>
        <v>114</v>
      </c>
      <c r="B222" s="156">
        <f>'a（自動）計算用'!F109</f>
        <v>453.00436555367423</v>
      </c>
      <c r="C222" s="156"/>
      <c r="D222" s="26">
        <f>'a（自動）計算用'!G109</f>
        <v>33.079982584096534</v>
      </c>
      <c r="E222" s="26">
        <f t="shared" si="185"/>
        <v>21.283899209347762</v>
      </c>
      <c r="F222" s="26">
        <f t="shared" si="222"/>
        <v>13.743807836232207</v>
      </c>
      <c r="G222" s="26">
        <f t="shared" si="223"/>
        <v>71.38580033262609</v>
      </c>
      <c r="H222" s="26">
        <f t="shared" si="186"/>
        <v>44.792962039630254</v>
      </c>
      <c r="I222" s="26">
        <f t="shared" si="224"/>
        <v>44.145865302655658</v>
      </c>
      <c r="J222" s="27">
        <f t="shared" ref="J222:K222" si="242">J106</f>
        <v>0.65986312605799757</v>
      </c>
      <c r="K222" s="155">
        <f t="shared" si="242"/>
        <v>1604.5688596756213</v>
      </c>
      <c r="L222" s="27">
        <f t="shared" si="226"/>
        <v>981.11272200725409</v>
      </c>
      <c r="M222" s="155">
        <f>'a（自動）計算用'!L109</f>
        <v>0</v>
      </c>
      <c r="N222" s="155">
        <f t="shared" si="227"/>
        <v>453.00436555367423</v>
      </c>
      <c r="O222" s="26">
        <f t="shared" si="188"/>
        <v>21.283899209347762</v>
      </c>
      <c r="P222" s="26">
        <f t="shared" si="228"/>
        <v>13.743807836232207</v>
      </c>
      <c r="Q222" s="26">
        <f t="shared" si="189"/>
        <v>71.38580033262609</v>
      </c>
      <c r="R222" s="26">
        <f t="shared" si="190"/>
        <v>44.792962039630254</v>
      </c>
      <c r="S222" s="26">
        <f t="shared" si="229"/>
        <v>44.145865302655658</v>
      </c>
      <c r="T222" s="27">
        <f t="shared" si="230"/>
        <v>981.11272200725409</v>
      </c>
      <c r="U222" s="27">
        <f t="shared" si="231"/>
        <v>0</v>
      </c>
      <c r="V222" s="27">
        <f t="shared" si="232"/>
        <v>1281.740679542412</v>
      </c>
      <c r="W222" s="27">
        <f t="shared" si="233"/>
        <v>1442.8537146179176</v>
      </c>
      <c r="X222" s="15">
        <f t="shared" si="234"/>
        <v>0.67998072990168845</v>
      </c>
      <c r="Y222" s="15">
        <f t="shared" si="191"/>
        <v>0.67998072990168845</v>
      </c>
    </row>
    <row r="223" spans="1:25">
      <c r="A223" s="14">
        <f>'a（自動）計算用'!D110</f>
        <v>115</v>
      </c>
      <c r="B223" s="156">
        <f>'a（自動）計算用'!F110</f>
        <v>453.00436555367423</v>
      </c>
      <c r="C223" s="156"/>
      <c r="D223" s="26">
        <f>'a（自動）計算用'!G110</f>
        <v>33.1254817548188</v>
      </c>
      <c r="E223" s="26">
        <f t="shared" si="185"/>
        <v>21.283899209347762</v>
      </c>
      <c r="F223" s="26">
        <f t="shared" si="222"/>
        <v>13.761360884509543</v>
      </c>
      <c r="G223" s="26">
        <f t="shared" si="223"/>
        <v>71.48840080534039</v>
      </c>
      <c r="H223" s="26">
        <f t="shared" si="186"/>
        <v>44.825140210240448</v>
      </c>
      <c r="I223" s="26">
        <f t="shared" si="224"/>
        <v>44.177056988530403</v>
      </c>
      <c r="J223" s="27">
        <f t="shared" ref="J223:K223" si="243">J107</f>
        <v>0.66123411333426219</v>
      </c>
      <c r="K223" s="155">
        <f t="shared" si="243"/>
        <v>1603.3756767219795</v>
      </c>
      <c r="L223" s="27">
        <f t="shared" si="226"/>
        <v>983.77768253875183</v>
      </c>
      <c r="M223" s="155">
        <f>'a（自動）計算用'!L110</f>
        <v>0</v>
      </c>
      <c r="N223" s="155">
        <f t="shared" si="227"/>
        <v>453.00436555367423</v>
      </c>
      <c r="O223" s="26">
        <f t="shared" si="188"/>
        <v>21.283899209347762</v>
      </c>
      <c r="P223" s="26">
        <f t="shared" si="228"/>
        <v>13.761360884509543</v>
      </c>
      <c r="Q223" s="26">
        <f t="shared" si="189"/>
        <v>71.48840080534039</v>
      </c>
      <c r="R223" s="26">
        <f t="shared" si="190"/>
        <v>44.825140210240448</v>
      </c>
      <c r="S223" s="26">
        <f t="shared" si="229"/>
        <v>44.177056988530403</v>
      </c>
      <c r="T223" s="27">
        <f t="shared" si="230"/>
        <v>983.77768253875183</v>
      </c>
      <c r="U223" s="27">
        <f t="shared" si="231"/>
        <v>0</v>
      </c>
      <c r="V223" s="27">
        <f t="shared" si="232"/>
        <v>1279.3694803521596</v>
      </c>
      <c r="W223" s="27">
        <f t="shared" si="233"/>
        <v>1445.4481528816077</v>
      </c>
      <c r="X223" s="15">
        <f t="shared" si="234"/>
        <v>0.68060392244268209</v>
      </c>
      <c r="Y223" s="15">
        <f t="shared" si="191"/>
        <v>0.68060392244268209</v>
      </c>
    </row>
    <row r="224" spans="1:25">
      <c r="A224" s="14">
        <f>'a（自動）計算用'!D111</f>
        <v>116</v>
      </c>
      <c r="B224" s="156">
        <f>'a（自動）計算用'!F111</f>
        <v>453.00436555367423</v>
      </c>
      <c r="C224" s="156"/>
      <c r="D224" s="26">
        <f>'a（自動）計算用'!G111</f>
        <v>33.169773154852507</v>
      </c>
      <c r="E224" s="26">
        <f t="shared" si="185"/>
        <v>21.283899209347762</v>
      </c>
      <c r="F224" s="26">
        <f t="shared" si="222"/>
        <v>13.778447988971472</v>
      </c>
      <c r="G224" s="26">
        <f t="shared" si="223"/>
        <v>71.588216433275193</v>
      </c>
      <c r="H224" s="26">
        <f t="shared" si="186"/>
        <v>44.856422829269732</v>
      </c>
      <c r="I224" s="26">
        <f t="shared" si="224"/>
        <v>44.207379604752923</v>
      </c>
      <c r="J224" s="27">
        <f t="shared" ref="J224:K224" si="244">J108</f>
        <v>0.66256935226509339</v>
      </c>
      <c r="K224" s="155">
        <f t="shared" si="244"/>
        <v>1602.2153103873261</v>
      </c>
      <c r="L224" s="27">
        <f t="shared" si="226"/>
        <v>986.37451674911506</v>
      </c>
      <c r="M224" s="155">
        <f>'a（自動）計算用'!L111</f>
        <v>0</v>
      </c>
      <c r="N224" s="155">
        <f t="shared" si="227"/>
        <v>453.00436555367423</v>
      </c>
      <c r="O224" s="26">
        <f t="shared" si="188"/>
        <v>21.283899209347762</v>
      </c>
      <c r="P224" s="26">
        <f t="shared" si="228"/>
        <v>13.778447988971472</v>
      </c>
      <c r="Q224" s="26">
        <f t="shared" si="189"/>
        <v>71.588216433275193</v>
      </c>
      <c r="R224" s="26">
        <f t="shared" si="190"/>
        <v>44.856422829269732</v>
      </c>
      <c r="S224" s="26">
        <f t="shared" si="229"/>
        <v>44.207379604752923</v>
      </c>
      <c r="T224" s="27">
        <f t="shared" si="230"/>
        <v>986.37451674911506</v>
      </c>
      <c r="U224" s="27">
        <f t="shared" si="231"/>
        <v>0</v>
      </c>
      <c r="V224" s="27">
        <f t="shared" si="232"/>
        <v>1277.0685558390626</v>
      </c>
      <c r="W224" s="27">
        <f t="shared" si="233"/>
        <v>1447.9747732854109</v>
      </c>
      <c r="X224" s="15">
        <f t="shared" si="234"/>
        <v>0.68120973855853939</v>
      </c>
      <c r="Y224" s="15">
        <f t="shared" si="191"/>
        <v>0.68120973855853939</v>
      </c>
    </row>
    <row r="225" spans="1:25">
      <c r="A225" s="14">
        <f>'a（自動）計算用'!D112</f>
        <v>117</v>
      </c>
      <c r="B225" s="156">
        <f>'a（自動）計算用'!F112</f>
        <v>453.00436555367423</v>
      </c>
      <c r="C225" s="156"/>
      <c r="D225" s="26">
        <f>'a（自動）計算用'!G112</f>
        <v>33.212888855153139</v>
      </c>
      <c r="E225" s="26">
        <f t="shared" si="185"/>
        <v>21.283899209347762</v>
      </c>
      <c r="F225" s="26">
        <f t="shared" si="222"/>
        <v>13.795081522217775</v>
      </c>
      <c r="G225" s="26">
        <f t="shared" si="223"/>
        <v>71.685324368664695</v>
      </c>
      <c r="H225" s="26">
        <f t="shared" si="186"/>
        <v>44.886835924125734</v>
      </c>
      <c r="I225" s="26">
        <f t="shared" si="224"/>
        <v>44.236858459473254</v>
      </c>
      <c r="J225" s="27">
        <f t="shared" ref="J225:K225" si="245">J109</f>
        <v>0.66386975757826627</v>
      </c>
      <c r="K225" s="155">
        <f t="shared" si="245"/>
        <v>1601.0868288373729</v>
      </c>
      <c r="L225" s="27">
        <f t="shared" si="226"/>
        <v>988.90489361235393</v>
      </c>
      <c r="M225" s="155">
        <f>'a（自動）計算用'!L112</f>
        <v>0</v>
      </c>
      <c r="N225" s="155">
        <f t="shared" si="227"/>
        <v>453.00436555367423</v>
      </c>
      <c r="O225" s="26">
        <f t="shared" si="188"/>
        <v>21.283899209347762</v>
      </c>
      <c r="P225" s="26">
        <f t="shared" si="228"/>
        <v>13.795081522217775</v>
      </c>
      <c r="Q225" s="26">
        <f t="shared" si="189"/>
        <v>71.685324368664695</v>
      </c>
      <c r="R225" s="26">
        <f t="shared" si="190"/>
        <v>44.886835924125734</v>
      </c>
      <c r="S225" s="26">
        <f t="shared" si="229"/>
        <v>44.236858459473254</v>
      </c>
      <c r="T225" s="27">
        <f t="shared" si="230"/>
        <v>988.90489361235393</v>
      </c>
      <c r="U225" s="27">
        <f t="shared" si="231"/>
        <v>0</v>
      </c>
      <c r="V225" s="27">
        <f t="shared" si="232"/>
        <v>1274.8356249400451</v>
      </c>
      <c r="W225" s="27">
        <f t="shared" si="233"/>
        <v>1450.4353206732596</v>
      </c>
      <c r="X225" s="15">
        <f t="shared" si="234"/>
        <v>0.68179868451722925</v>
      </c>
      <c r="Y225" s="15">
        <f t="shared" si="191"/>
        <v>0.68179868451722925</v>
      </c>
    </row>
    <row r="226" spans="1:25">
      <c r="A226" s="14">
        <f>'a（自動）計算用'!D113</f>
        <v>118</v>
      </c>
      <c r="B226" s="156">
        <f>'a（自動）計算用'!F113</f>
        <v>453.00436555367423</v>
      </c>
      <c r="C226" s="156"/>
      <c r="D226" s="26">
        <f>'a（自動）計算用'!G113</f>
        <v>33.254860071599857</v>
      </c>
      <c r="E226" s="26">
        <f t="shared" si="185"/>
        <v>21.283899209347762</v>
      </c>
      <c r="F226" s="26">
        <f t="shared" si="222"/>
        <v>13.811273526969792</v>
      </c>
      <c r="G226" s="26">
        <f t="shared" si="223"/>
        <v>71.779799540355611</v>
      </c>
      <c r="H226" s="26">
        <f t="shared" si="186"/>
        <v>44.916404704556207</v>
      </c>
      <c r="I226" s="26">
        <f t="shared" si="224"/>
        <v>44.265518063242688</v>
      </c>
      <c r="J226" s="27">
        <f t="shared" ref="J226:K226" si="246">J110</f>
        <v>0.66513622147915419</v>
      </c>
      <c r="K226" s="155">
        <f t="shared" si="246"/>
        <v>1599.9893282748465</v>
      </c>
      <c r="L226" s="27">
        <f t="shared" si="226"/>
        <v>991.37044516291189</v>
      </c>
      <c r="M226" s="155">
        <f>'a（自動）計算用'!L113</f>
        <v>0</v>
      </c>
      <c r="N226" s="155">
        <f t="shared" si="227"/>
        <v>453.00436555367423</v>
      </c>
      <c r="O226" s="26">
        <f t="shared" si="188"/>
        <v>21.283899209347762</v>
      </c>
      <c r="P226" s="26">
        <f t="shared" si="228"/>
        <v>13.811273526969792</v>
      </c>
      <c r="Q226" s="26">
        <f t="shared" si="189"/>
        <v>71.779799540355611</v>
      </c>
      <c r="R226" s="26">
        <f t="shared" si="190"/>
        <v>44.916404704556207</v>
      </c>
      <c r="S226" s="26">
        <f t="shared" si="229"/>
        <v>44.265518063242688</v>
      </c>
      <c r="T226" s="27">
        <f t="shared" si="230"/>
        <v>991.37044516291189</v>
      </c>
      <c r="U226" s="27">
        <f t="shared" si="231"/>
        <v>0</v>
      </c>
      <c r="V226" s="27">
        <f t="shared" si="232"/>
        <v>1272.6684916544179</v>
      </c>
      <c r="W226" s="27">
        <f t="shared" si="233"/>
        <v>1452.8314963653481</v>
      </c>
      <c r="X226" s="15">
        <f t="shared" si="234"/>
        <v>0.68237125065301363</v>
      </c>
      <c r="Y226" s="15">
        <f t="shared" si="191"/>
        <v>0.68237125065301363</v>
      </c>
    </row>
    <row r="227" spans="1:25">
      <c r="A227" s="14">
        <f>'a（自動）計算用'!D114</f>
        <v>119</v>
      </c>
      <c r="B227" s="156">
        <f>'a（自動）計算用'!F114</f>
        <v>453.00436555367423</v>
      </c>
      <c r="C227" s="156"/>
      <c r="D227" s="26">
        <f>'a（自動）計算用'!G114</f>
        <v>33.295717188178457</v>
      </c>
      <c r="E227" s="26">
        <f t="shared" si="185"/>
        <v>21.283899209347762</v>
      </c>
      <c r="F227" s="26">
        <f t="shared" si="222"/>
        <v>13.827035725014113</v>
      </c>
      <c r="G227" s="26">
        <f t="shared" si="223"/>
        <v>71.871714722572818</v>
      </c>
      <c r="H227" s="26">
        <f t="shared" si="186"/>
        <v>44.945153591725592</v>
      </c>
      <c r="I227" s="26">
        <f t="shared" si="224"/>
        <v>44.293382157497007</v>
      </c>
      <c r="J227" s="27">
        <f t="shared" ref="J227:K227" si="247">J111</f>
        <v>0.6663696141597989</v>
      </c>
      <c r="K227" s="155">
        <f t="shared" si="247"/>
        <v>1598.9219320119719</v>
      </c>
      <c r="L227" s="27">
        <f t="shared" si="226"/>
        <v>993.77276708703721</v>
      </c>
      <c r="M227" s="155">
        <f>'a（自動）計算用'!L114</f>
        <v>0</v>
      </c>
      <c r="N227" s="155">
        <f t="shared" si="227"/>
        <v>453.00436555367423</v>
      </c>
      <c r="O227" s="26">
        <f t="shared" si="188"/>
        <v>21.283899209347762</v>
      </c>
      <c r="P227" s="26">
        <f t="shared" si="228"/>
        <v>13.827035725014113</v>
      </c>
      <c r="Q227" s="26">
        <f t="shared" si="189"/>
        <v>71.871714722572818</v>
      </c>
      <c r="R227" s="26">
        <f t="shared" si="190"/>
        <v>44.945153591725592</v>
      </c>
      <c r="S227" s="26">
        <f t="shared" si="229"/>
        <v>44.293382157497007</v>
      </c>
      <c r="T227" s="27">
        <f t="shared" si="230"/>
        <v>993.77276708703721</v>
      </c>
      <c r="U227" s="27">
        <f t="shared" si="231"/>
        <v>0</v>
      </c>
      <c r="V227" s="27">
        <f t="shared" si="232"/>
        <v>1270.5650412672685</v>
      </c>
      <c r="W227" s="27">
        <f t="shared" si="233"/>
        <v>1455.1649591773264</v>
      </c>
      <c r="X227" s="15">
        <f t="shared" si="234"/>
        <v>0.68292791193162317</v>
      </c>
      <c r="Y227" s="15">
        <f t="shared" si="191"/>
        <v>0.68292791193162317</v>
      </c>
    </row>
    <row r="228" spans="1:25">
      <c r="A228" s="14">
        <f>'a（自動）計算用'!D115</f>
        <v>120</v>
      </c>
      <c r="B228" s="156">
        <f>'a（自動）計算用'!F115</f>
        <v>453.00436555367423</v>
      </c>
      <c r="C228" s="156"/>
      <c r="D228" s="26">
        <f>'a（自動）計算用'!G115</f>
        <v>33.335489779502211</v>
      </c>
      <c r="E228" s="26">
        <f t="shared" si="185"/>
        <v>21.283899209347762</v>
      </c>
      <c r="F228" s="26">
        <f t="shared" si="222"/>
        <v>13.842379525890882</v>
      </c>
      <c r="G228" s="26">
        <f t="shared" si="223"/>
        <v>71.961140601308415</v>
      </c>
      <c r="H228" s="26">
        <f t="shared" si="186"/>
        <v>44.973106246073364</v>
      </c>
      <c r="I228" s="26">
        <f t="shared" si="224"/>
        <v>44.320473741841305</v>
      </c>
      <c r="J228" s="27">
        <f t="shared" ref="J228:K228" si="248">J112</f>
        <v>0.66757078429892924</v>
      </c>
      <c r="K228" s="155">
        <f t="shared" si="248"/>
        <v>1597.8837895779498</v>
      </c>
      <c r="L228" s="27">
        <f t="shared" si="226"/>
        <v>996.11341931930667</v>
      </c>
      <c r="M228" s="155">
        <f>'a（自動）計算用'!L115</f>
        <v>0</v>
      </c>
      <c r="N228" s="155">
        <f t="shared" si="227"/>
        <v>453.00436555367423</v>
      </c>
      <c r="O228" s="26">
        <f t="shared" si="188"/>
        <v>21.283899209347762</v>
      </c>
      <c r="P228" s="26">
        <f t="shared" si="228"/>
        <v>13.842379525890882</v>
      </c>
      <c r="Q228" s="26">
        <f t="shared" si="189"/>
        <v>71.961140601308415</v>
      </c>
      <c r="R228" s="26">
        <f t="shared" si="190"/>
        <v>44.973106246073364</v>
      </c>
      <c r="S228" s="26">
        <f t="shared" si="229"/>
        <v>44.320473741841305</v>
      </c>
      <c r="T228" s="27">
        <f t="shared" si="230"/>
        <v>996.11341931930667</v>
      </c>
      <c r="U228" s="27">
        <f t="shared" si="231"/>
        <v>0</v>
      </c>
      <c r="V228" s="27">
        <f t="shared" si="232"/>
        <v>1268.5232367730571</v>
      </c>
      <c r="W228" s="27">
        <f t="shared" si="233"/>
        <v>1457.4373264188778</v>
      </c>
      <c r="X228" s="15">
        <f t="shared" si="234"/>
        <v>0.68346912849205887</v>
      </c>
      <c r="Y228" s="15">
        <f t="shared" si="191"/>
        <v>0.68346912849205887</v>
      </c>
    </row>
  </sheetData>
  <autoFilter ref="A1:L24"/>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W64"/>
  <sheetViews>
    <sheetView showGridLines="0" zoomScaleNormal="100" zoomScaleSheetLayoutView="100" workbookViewId="0">
      <selection activeCell="C10" sqref="C10"/>
    </sheetView>
  </sheetViews>
  <sheetFormatPr defaultRowHeight="13.5"/>
  <cols>
    <col min="1" max="1" width="3.375" customWidth="1"/>
    <col min="2" max="2" width="10.5" customWidth="1"/>
    <col min="3" max="9" width="9.125" customWidth="1"/>
    <col min="23" max="23" width="9" hidden="1" customWidth="1"/>
    <col min="24" max="26" width="9" customWidth="1"/>
  </cols>
  <sheetData>
    <row r="2" spans="2:10" ht="27" customHeight="1">
      <c r="B2" s="425" t="s">
        <v>252</v>
      </c>
      <c r="C2" s="425"/>
      <c r="D2" s="425"/>
      <c r="E2" s="425"/>
      <c r="F2" s="425"/>
      <c r="G2" s="425"/>
      <c r="H2" s="425"/>
      <c r="I2" s="425"/>
      <c r="J2" s="223" t="s">
        <v>321</v>
      </c>
    </row>
    <row r="3" spans="2:10">
      <c r="B3" s="426" t="s">
        <v>262</v>
      </c>
      <c r="C3" s="426"/>
      <c r="D3" s="426"/>
      <c r="E3" s="426"/>
      <c r="F3" s="426"/>
      <c r="G3" s="426"/>
      <c r="H3" s="426"/>
      <c r="I3" s="426"/>
    </row>
    <row r="5" spans="2:10">
      <c r="B5" s="76" t="s">
        <v>248</v>
      </c>
      <c r="C5" s="229"/>
      <c r="D5" t="s">
        <v>246</v>
      </c>
    </row>
    <row r="7" spans="2:10">
      <c r="B7" t="s">
        <v>198</v>
      </c>
    </row>
    <row r="8" spans="2:10">
      <c r="B8" s="20"/>
      <c r="C8" s="20"/>
      <c r="D8" s="20"/>
    </row>
    <row r="9" spans="2:10">
      <c r="B9" s="212"/>
      <c r="C9" s="213" t="s">
        <v>183</v>
      </c>
      <c r="D9" s="213" t="s">
        <v>184</v>
      </c>
      <c r="E9" s="213" t="s">
        <v>185</v>
      </c>
      <c r="F9" s="213" t="s">
        <v>186</v>
      </c>
      <c r="G9" s="213" t="s">
        <v>187</v>
      </c>
      <c r="H9" s="213" t="s">
        <v>188</v>
      </c>
      <c r="I9" s="213" t="s">
        <v>189</v>
      </c>
    </row>
    <row r="10" spans="2:10">
      <c r="B10" s="214" t="s">
        <v>192</v>
      </c>
      <c r="C10" s="234" t="s">
        <v>311</v>
      </c>
      <c r="D10" s="234" t="s">
        <v>312</v>
      </c>
      <c r="E10" s="234" t="s">
        <v>313</v>
      </c>
      <c r="F10" s="234">
        <v>35</v>
      </c>
      <c r="G10" s="234">
        <v>999</v>
      </c>
      <c r="H10" s="234">
        <v>9999</v>
      </c>
      <c r="I10" s="234" t="s">
        <v>314</v>
      </c>
    </row>
    <row r="11" spans="2:10">
      <c r="C11" s="206"/>
      <c r="D11" s="206"/>
      <c r="E11" s="206"/>
      <c r="F11" s="206"/>
    </row>
    <row r="12" spans="2:10">
      <c r="B12" s="48" t="s">
        <v>190</v>
      </c>
      <c r="C12" s="235">
        <v>1</v>
      </c>
      <c r="D12" s="215" t="s">
        <v>191</v>
      </c>
      <c r="E12" s="206"/>
      <c r="F12" s="206"/>
    </row>
    <row r="13" spans="2:10">
      <c r="B13" s="48" t="s">
        <v>315</v>
      </c>
      <c r="C13" s="236">
        <v>2500</v>
      </c>
      <c r="D13" s="215" t="s">
        <v>182</v>
      </c>
      <c r="E13" s="206"/>
      <c r="F13" s="216" t="s">
        <v>210</v>
      </c>
    </row>
    <row r="14" spans="2:10">
      <c r="E14" s="206"/>
      <c r="F14" s="153"/>
    </row>
    <row r="15" spans="2:10">
      <c r="B15" t="s">
        <v>199</v>
      </c>
      <c r="C15" s="206"/>
      <c r="D15" s="206"/>
      <c r="E15" s="206"/>
    </row>
    <row r="16" spans="2:10">
      <c r="C16" s="206"/>
      <c r="D16" s="206"/>
      <c r="E16" s="206"/>
    </row>
    <row r="17" spans="2:23">
      <c r="B17" s="48" t="s">
        <v>1</v>
      </c>
      <c r="C17" s="237">
        <v>10</v>
      </c>
      <c r="D17" s="215" t="s">
        <v>194</v>
      </c>
      <c r="F17" s="48" t="s">
        <v>116</v>
      </c>
      <c r="G17" s="252">
        <f>IFERROR(IF(C17&lt;10,"-",直径材積計算!I115),"-")</f>
        <v>11.133365069221741</v>
      </c>
      <c r="H17" s="215" t="s">
        <v>196</v>
      </c>
      <c r="I17" s="411" t="str">
        <f>IF($C$17&lt;10,"林齢10未満のため","")</f>
        <v/>
      </c>
    </row>
    <row r="18" spans="2:23" ht="15.75">
      <c r="B18" s="48" t="s">
        <v>69</v>
      </c>
      <c r="C18" s="238">
        <v>2400</v>
      </c>
      <c r="D18" s="215" t="s">
        <v>182</v>
      </c>
      <c r="F18" s="48" t="s">
        <v>117</v>
      </c>
      <c r="G18" s="252">
        <f>IFERROR(IF(C17&lt;10,"-",直径材積計算!L115),"-")</f>
        <v>102.11402709994887</v>
      </c>
      <c r="H18" s="215" t="s">
        <v>197</v>
      </c>
      <c r="I18" s="411" t="str">
        <f t="shared" ref="I18:I19" si="0">IF($C$17&lt;10,"林齢10未満のため","")</f>
        <v/>
      </c>
    </row>
    <row r="19" spans="2:23">
      <c r="B19" s="48" t="s">
        <v>2</v>
      </c>
      <c r="C19" s="239">
        <v>7</v>
      </c>
      <c r="D19" s="217" t="s">
        <v>195</v>
      </c>
      <c r="E19" s="153"/>
      <c r="F19" s="48" t="s">
        <v>193</v>
      </c>
      <c r="G19" s="253">
        <f>IFERROR(IF(C17&lt;10,"-",直径材積計算!X115),"-")</f>
        <v>0.53879479285362786</v>
      </c>
      <c r="H19" s="218"/>
      <c r="I19" s="411" t="str">
        <f t="shared" si="0"/>
        <v/>
      </c>
    </row>
    <row r="20" spans="2:23">
      <c r="C20" s="153"/>
      <c r="D20" s="153"/>
      <c r="E20" s="153"/>
      <c r="F20" t="s">
        <v>305</v>
      </c>
      <c r="G20" s="193"/>
      <c r="H20" s="157"/>
    </row>
    <row r="21" spans="2:23">
      <c r="B21" s="219" t="s">
        <v>200</v>
      </c>
      <c r="C21" s="153"/>
      <c r="D21" s="153"/>
      <c r="E21" s="153"/>
      <c r="F21" s="153"/>
      <c r="G21" s="193"/>
      <c r="H21" s="157"/>
    </row>
    <row r="22" spans="2:23">
      <c r="B22" s="219"/>
      <c r="C22" s="153"/>
      <c r="D22" s="153"/>
      <c r="E22" s="153"/>
      <c r="F22" s="153"/>
      <c r="G22" s="193"/>
      <c r="H22" s="157"/>
    </row>
    <row r="23" spans="2:23">
      <c r="B23" s="219" t="s">
        <v>201</v>
      </c>
      <c r="C23" s="153"/>
      <c r="D23" s="153"/>
      <c r="E23" s="153"/>
      <c r="F23" s="44" t="s">
        <v>251</v>
      </c>
    </row>
    <row r="24" spans="2:23">
      <c r="B24" s="48" t="s">
        <v>0</v>
      </c>
      <c r="C24" s="240">
        <v>1.7</v>
      </c>
      <c r="D24" s="220"/>
      <c r="F24" s="221" t="s">
        <v>250</v>
      </c>
      <c r="G24" s="222"/>
      <c r="H24" s="251">
        <f>IFERROR(ROUND('樹高計算 '!Z119,2),"？")</f>
        <v>1.7</v>
      </c>
    </row>
    <row r="25" spans="2:23">
      <c r="B25" s="48" t="s">
        <v>243</v>
      </c>
      <c r="C25" s="237">
        <v>120</v>
      </c>
      <c r="D25" s="217" t="s">
        <v>194</v>
      </c>
      <c r="F25" t="s">
        <v>306</v>
      </c>
      <c r="K25" s="192"/>
      <c r="L25" s="157"/>
    </row>
    <row r="26" spans="2:23">
      <c r="B26" s="48" t="s">
        <v>170</v>
      </c>
      <c r="C26" s="249">
        <v>0</v>
      </c>
      <c r="D26" s="215" t="s">
        <v>73</v>
      </c>
      <c r="E26" s="20"/>
      <c r="F26" t="s">
        <v>322</v>
      </c>
    </row>
    <row r="28" spans="2:23">
      <c r="B28" s="59" t="s">
        <v>202</v>
      </c>
    </row>
    <row r="30" spans="2:23" ht="17.25" customHeight="1">
      <c r="B30" s="419"/>
      <c r="C30" s="420"/>
      <c r="D30" s="421"/>
      <c r="E30" s="421"/>
      <c r="F30" s="228"/>
      <c r="G30" s="422"/>
      <c r="H30" s="423"/>
      <c r="I30" s="423"/>
      <c r="J30" s="78"/>
      <c r="W30" s="188">
        <v>0</v>
      </c>
    </row>
    <row r="31" spans="2:23">
      <c r="W31" s="189">
        <v>0.05</v>
      </c>
    </row>
    <row r="32" spans="2:23">
      <c r="B32" s="76" t="s">
        <v>166</v>
      </c>
      <c r="C32" s="241">
        <v>0.75</v>
      </c>
      <c r="D32" t="s">
        <v>169</v>
      </c>
      <c r="G32" t="s">
        <v>323</v>
      </c>
      <c r="W32" s="189">
        <v>0.1</v>
      </c>
    </row>
    <row r="33" spans="2:23">
      <c r="B33" s="76" t="s">
        <v>166</v>
      </c>
      <c r="C33" s="241">
        <v>0.65</v>
      </c>
      <c r="D33" t="s">
        <v>168</v>
      </c>
      <c r="G33" t="s">
        <v>203</v>
      </c>
      <c r="W33" s="189">
        <v>0.15</v>
      </c>
    </row>
    <row r="34" spans="2:23">
      <c r="B34" s="76" t="s">
        <v>173</v>
      </c>
      <c r="C34" s="254">
        <f>AVERAGE(C32,C33)</f>
        <v>0.7</v>
      </c>
      <c r="W34" s="189">
        <v>0.2</v>
      </c>
    </row>
    <row r="35" spans="2:23">
      <c r="W35" s="190"/>
    </row>
    <row r="36" spans="2:23">
      <c r="B36" t="s">
        <v>249</v>
      </c>
      <c r="G36" t="s">
        <v>204</v>
      </c>
      <c r="W36" s="189"/>
    </row>
    <row r="37" spans="2:23">
      <c r="B37" s="200" t="s">
        <v>68</v>
      </c>
      <c r="C37" s="200" t="s">
        <v>1</v>
      </c>
      <c r="D37" s="200" t="s">
        <v>79</v>
      </c>
      <c r="G37" s="199" t="s">
        <v>68</v>
      </c>
      <c r="H37" s="200" t="s">
        <v>1</v>
      </c>
      <c r="I37" s="200" t="s">
        <v>79</v>
      </c>
      <c r="W37" s="189"/>
    </row>
    <row r="38" spans="2:23">
      <c r="B38" s="195" t="s">
        <v>118</v>
      </c>
      <c r="C38" s="255">
        <f>IFERROR(VLOOKUP($W54,'a（自動）計算用'!$X$5:$Z$115,2,FALSE),"")</f>
        <v>18</v>
      </c>
      <c r="D38" s="256">
        <f>IFERROR(VLOOKUP($W54,'a（自動）計算用'!$X$5:$Z$115,3,FALSE),"")</f>
        <v>0.29164769191177509</v>
      </c>
      <c r="G38" s="198" t="s">
        <v>118</v>
      </c>
      <c r="H38" s="242">
        <v>30</v>
      </c>
      <c r="I38" s="243">
        <v>0.3</v>
      </c>
      <c r="W38" s="189"/>
    </row>
    <row r="39" spans="2:23">
      <c r="B39" s="196" t="s">
        <v>119</v>
      </c>
      <c r="C39" s="257">
        <f>IFERROR(VLOOKUP($W55,'a（自動）計算用'!$X$5:$Z$115,2,FALSE),"")</f>
        <v>24</v>
      </c>
      <c r="D39" s="258">
        <f>IFERROR(VLOOKUP($W55,'a（自動）計算用'!$X$5:$Z$115,3,FALSE),"")</f>
        <v>0.28072287865826928</v>
      </c>
      <c r="G39" s="196" t="s">
        <v>119</v>
      </c>
      <c r="H39" s="244">
        <v>40</v>
      </c>
      <c r="I39" s="245">
        <v>0.2</v>
      </c>
      <c r="W39" s="189">
        <v>0.4</v>
      </c>
    </row>
    <row r="40" spans="2:23">
      <c r="B40" s="196" t="s">
        <v>120</v>
      </c>
      <c r="C40" s="257">
        <f>IFERROR(VLOOKUP($W56,'a（自動）計算用'!$X$5:$Z$115,2,FALSE),"")</f>
        <v>33</v>
      </c>
      <c r="D40" s="258">
        <f>IFERROR(VLOOKUP($W56,'a（自動）計算用'!$X$5:$Z$115,3,FALSE),"")</f>
        <v>0.27753580954252116</v>
      </c>
      <c r="G40" s="196" t="s">
        <v>120</v>
      </c>
      <c r="H40" s="244">
        <v>55</v>
      </c>
      <c r="I40" s="245">
        <v>0.2</v>
      </c>
      <c r="W40" s="189">
        <v>0.45</v>
      </c>
    </row>
    <row r="41" spans="2:23">
      <c r="B41" s="196" t="s">
        <v>121</v>
      </c>
      <c r="C41" s="257">
        <f>IFERROR(VLOOKUP($W57,'a（自動）計算用'!$X$5:$Z$115,2,FALSE),"")</f>
        <v>48</v>
      </c>
      <c r="D41" s="258">
        <f>IFERROR(VLOOKUP($W57,'a（自動）計算用'!$X$5:$Z$115,3,FALSE),"")</f>
        <v>0.26410425814968241</v>
      </c>
      <c r="G41" s="196" t="s">
        <v>121</v>
      </c>
      <c r="H41" s="244"/>
      <c r="I41" s="245"/>
      <c r="W41" s="189">
        <v>0.5</v>
      </c>
    </row>
    <row r="42" spans="2:23">
      <c r="B42" s="196" t="s">
        <v>122</v>
      </c>
      <c r="C42" s="257">
        <f>IFERROR(VLOOKUP($W58,'a（自動）計算用'!$X$5:$Z$115,2,FALSE),"")</f>
        <v>84</v>
      </c>
      <c r="D42" s="258">
        <f>IFERROR(VLOOKUP($W58,'a（自動）計算用'!$X$5:$Z$115,3,FALSE),"")</f>
        <v>0.26100956043842483</v>
      </c>
      <c r="G42" s="196" t="s">
        <v>122</v>
      </c>
      <c r="H42" s="244"/>
      <c r="I42" s="245"/>
      <c r="W42" s="190">
        <v>0.55000000000000004</v>
      </c>
    </row>
    <row r="43" spans="2:23">
      <c r="B43" s="196" t="s">
        <v>123</v>
      </c>
      <c r="C43" s="257" t="str">
        <f>IFERROR(VLOOKUP($W59,'a（自動）計算用'!$X$5:$Z$115,2,FALSE),"")</f>
        <v/>
      </c>
      <c r="D43" s="258" t="str">
        <f>IFERROR(VLOOKUP($W59,'a（自動）計算用'!$X$5:$Z$115,3,FALSE),"")</f>
        <v/>
      </c>
      <c r="G43" s="196" t="s">
        <v>123</v>
      </c>
      <c r="H43" s="244"/>
      <c r="I43" s="246"/>
      <c r="W43" s="190">
        <v>0.6</v>
      </c>
    </row>
    <row r="44" spans="2:23">
      <c r="B44" s="196" t="s">
        <v>124</v>
      </c>
      <c r="C44" s="257" t="str">
        <f>IFERROR(VLOOKUP($W60,'a（自動）計算用'!$X$5:$Z$115,2,FALSE),"")</f>
        <v/>
      </c>
      <c r="D44" s="258" t="str">
        <f>IFERROR(VLOOKUP($W60,'a（自動）計算用'!$X$5:$Z$115,3,FALSE),"")</f>
        <v/>
      </c>
      <c r="G44" s="196" t="s">
        <v>124</v>
      </c>
      <c r="H44" s="244"/>
      <c r="I44" s="246"/>
      <c r="W44" s="190">
        <v>0.65</v>
      </c>
    </row>
    <row r="45" spans="2:23">
      <c r="B45" s="196" t="s">
        <v>125</v>
      </c>
      <c r="C45" s="257" t="str">
        <f>IFERROR(VLOOKUP($W61,'a（自動）計算用'!$X$5:$Z$115,2,FALSE),"")</f>
        <v/>
      </c>
      <c r="D45" s="258" t="str">
        <f>IFERROR(VLOOKUP($W61,'a（自動）計算用'!$X$5:$Z$115,3,FALSE),"")</f>
        <v/>
      </c>
      <c r="G45" s="196" t="s">
        <v>125</v>
      </c>
      <c r="H45" s="244"/>
      <c r="I45" s="246"/>
      <c r="W45" s="190">
        <v>0.7</v>
      </c>
    </row>
    <row r="46" spans="2:23">
      <c r="B46" s="196" t="s">
        <v>126</v>
      </c>
      <c r="C46" s="257" t="str">
        <f>IFERROR(VLOOKUP($W62,'a（自動）計算用'!$X$5:$Z$115,2,FALSE),"")</f>
        <v/>
      </c>
      <c r="D46" s="258" t="str">
        <f>IFERROR(VLOOKUP($W62,'a（自動）計算用'!$X$5:$Z$115,3,FALSE),"")</f>
        <v/>
      </c>
      <c r="G46" s="196" t="s">
        <v>126</v>
      </c>
      <c r="H46" s="244"/>
      <c r="I46" s="246"/>
      <c r="W46" s="190">
        <v>0.75</v>
      </c>
    </row>
    <row r="47" spans="2:23">
      <c r="B47" s="197" t="s">
        <v>127</v>
      </c>
      <c r="C47" s="259" t="str">
        <f>IFERROR(VLOOKUP($W63,'a（自動）計算用'!$X$5:$Z$115,2,FALSE),"")</f>
        <v/>
      </c>
      <c r="D47" s="260" t="str">
        <f>IFERROR(VLOOKUP($W63,'a（自動）計算用'!$X$5:$Z$115,3,FALSE),"")</f>
        <v/>
      </c>
      <c r="G47" s="197" t="s">
        <v>127</v>
      </c>
      <c r="H47" s="247"/>
      <c r="I47" s="246"/>
      <c r="W47" s="190">
        <v>0.79999999999999993</v>
      </c>
    </row>
    <row r="48" spans="2:23">
      <c r="B48" s="201" t="s">
        <v>128</v>
      </c>
      <c r="C48" s="261">
        <f>C25</f>
        <v>120</v>
      </c>
      <c r="D48" s="261"/>
      <c r="G48" s="199" t="s">
        <v>128</v>
      </c>
      <c r="H48" s="262">
        <f>C25</f>
        <v>120</v>
      </c>
      <c r="I48" s="263"/>
      <c r="W48" s="190">
        <v>0.85</v>
      </c>
    </row>
    <row r="49" spans="2:23">
      <c r="B49" s="153"/>
      <c r="C49" s="153"/>
      <c r="D49" s="153"/>
      <c r="G49" s="153"/>
      <c r="H49" s="230"/>
      <c r="I49" s="153"/>
      <c r="W49" s="190">
        <v>0.9</v>
      </c>
    </row>
    <row r="50" spans="2:23">
      <c r="B50" s="231" t="s">
        <v>247</v>
      </c>
      <c r="I50" s="153"/>
      <c r="W50" s="190">
        <v>0.95</v>
      </c>
    </row>
    <row r="51" spans="2:23">
      <c r="W51" s="190">
        <v>1</v>
      </c>
    </row>
    <row r="52" spans="2:23">
      <c r="W52" s="190"/>
    </row>
    <row r="53" spans="2:23">
      <c r="W53" s="190"/>
    </row>
    <row r="54" spans="2:23">
      <c r="W54" s="187">
        <v>1</v>
      </c>
    </row>
    <row r="55" spans="2:23">
      <c r="W55" s="187">
        <v>2</v>
      </c>
    </row>
    <row r="56" spans="2:23">
      <c r="W56" s="187">
        <v>3</v>
      </c>
    </row>
    <row r="57" spans="2:23">
      <c r="W57" s="187">
        <v>4</v>
      </c>
    </row>
    <row r="58" spans="2:23">
      <c r="W58" s="187">
        <v>5</v>
      </c>
    </row>
    <row r="59" spans="2:23">
      <c r="W59" s="187">
        <v>6</v>
      </c>
    </row>
    <row r="60" spans="2:23">
      <c r="W60" s="187">
        <v>7</v>
      </c>
    </row>
    <row r="61" spans="2:23">
      <c r="W61" s="187">
        <v>8</v>
      </c>
    </row>
    <row r="62" spans="2:23">
      <c r="W62" s="187">
        <v>9</v>
      </c>
    </row>
    <row r="63" spans="2:23">
      <c r="W63" s="187">
        <v>10</v>
      </c>
    </row>
    <row r="64" spans="2:23">
      <c r="W64" s="190"/>
    </row>
  </sheetData>
  <sheetProtection password="F089" sheet="1" objects="1" scenarios="1" selectLockedCells="1"/>
  <mergeCells count="2">
    <mergeCell ref="B2:I2"/>
    <mergeCell ref="B3:I3"/>
  </mergeCells>
  <phoneticPr fontId="1"/>
  <dataValidations count="2">
    <dataValidation type="list" allowBlank="1" showInputMessage="1" showErrorMessage="1" sqref="C33">
      <formula1>$W$39:$W$47</formula1>
    </dataValidation>
    <dataValidation type="list" allowBlank="1" showInputMessage="1" showErrorMessage="1" sqref="C32">
      <formula1>$W$42:$W$49</formula1>
    </dataValidation>
  </dataValidations>
  <printOptions horizontalCentered="1" verticalCentered="1"/>
  <pageMargins left="0.70866141732283472" right="0.70866141732283472" top="0.74803149606299213" bottom="0.74803149606299213"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CC"/>
  </sheetPr>
  <dimension ref="A1:U45"/>
  <sheetViews>
    <sheetView showGridLines="0" view="pageBreakPreview" zoomScaleNormal="100" zoomScaleSheetLayoutView="100" workbookViewId="0">
      <selection activeCell="E12" sqref="E12"/>
    </sheetView>
  </sheetViews>
  <sheetFormatPr defaultRowHeight="12"/>
  <cols>
    <col min="1" max="1" width="4.5" style="227" bestFit="1" customWidth="1"/>
    <col min="2" max="7" width="7.125" style="226" customWidth="1"/>
    <col min="8" max="8" width="3.625" style="227" customWidth="1"/>
    <col min="9" max="9" width="7.75" style="227" bestFit="1" customWidth="1"/>
    <col min="10" max="20" width="7.125" style="227" customWidth="1"/>
    <col min="21" max="21" width="9" style="227" customWidth="1"/>
    <col min="22" max="16384" width="9" style="227"/>
  </cols>
  <sheetData>
    <row r="1" spans="1:21" ht="27" customHeight="1">
      <c r="A1" s="429" t="s">
        <v>303</v>
      </c>
      <c r="B1" s="429"/>
      <c r="C1" s="429"/>
      <c r="D1" s="429"/>
      <c r="E1" s="429"/>
      <c r="F1" s="429"/>
      <c r="G1" s="429"/>
      <c r="H1" s="429"/>
      <c r="I1" s="429"/>
      <c r="J1" s="429"/>
      <c r="K1" s="429"/>
      <c r="L1" s="429"/>
      <c r="M1" s="429"/>
      <c r="N1" s="429"/>
      <c r="O1" s="429"/>
      <c r="P1" s="429"/>
      <c r="Q1" s="429"/>
      <c r="R1" s="429"/>
      <c r="S1" s="429"/>
      <c r="T1" s="429"/>
    </row>
    <row r="2" spans="1:21" ht="13.5" customHeight="1">
      <c r="S2" s="430">
        <f ca="1">NOW()</f>
        <v>43578.798793055554</v>
      </c>
      <c r="T2" s="430"/>
      <c r="U2" s="248" t="s">
        <v>310</v>
      </c>
    </row>
    <row r="3" spans="1:21" s="267" customFormat="1">
      <c r="A3" s="264" t="s">
        <v>230</v>
      </c>
      <c r="B3" s="265"/>
      <c r="C3" s="265"/>
      <c r="D3" s="265"/>
      <c r="E3" s="266"/>
      <c r="F3" s="265"/>
      <c r="G3" s="265"/>
    </row>
    <row r="4" spans="1:21" s="267" customFormat="1">
      <c r="B4" s="265"/>
      <c r="C4" s="265"/>
      <c r="D4" s="265"/>
      <c r="E4" s="266"/>
      <c r="F4" s="265"/>
      <c r="G4" s="265"/>
    </row>
    <row r="5" spans="1:21" s="267" customFormat="1">
      <c r="B5" s="268" t="s">
        <v>227</v>
      </c>
      <c r="C5" s="436" t="str">
        <f>CONCATENATE("　大分県",入力!C10," ",入力!D9,入力!D10," ",入力!E9,入力!E10,入力!F10)</f>
        <v>　大分県日田市 大字有田 字佐寺原35</v>
      </c>
      <c r="D5" s="436"/>
      <c r="E5" s="436"/>
      <c r="F5" s="436"/>
      <c r="G5" s="436"/>
      <c r="H5" s="269"/>
      <c r="I5" s="269"/>
    </row>
    <row r="6" spans="1:21" s="267" customFormat="1">
      <c r="B6" s="268" t="s">
        <v>228</v>
      </c>
      <c r="C6" s="436" t="str">
        <f>CONCATENATE("　",入力!G10,"林班　",入力!H10,入力!I10)</f>
        <v>　999林班　9999ｱ</v>
      </c>
      <c r="D6" s="436"/>
      <c r="E6" s="436"/>
      <c r="F6" s="436"/>
      <c r="G6" s="436"/>
      <c r="H6" s="269"/>
      <c r="I6" s="269"/>
    </row>
    <row r="7" spans="1:21" s="267" customFormat="1">
      <c r="B7" s="268" t="s">
        <v>229</v>
      </c>
      <c r="C7" s="269" t="str">
        <f>CONCATENATE("　",入力!C12,"ha")</f>
        <v>　1ha</v>
      </c>
      <c r="D7" s="265"/>
      <c r="E7" s="269"/>
      <c r="F7" s="269"/>
      <c r="G7" s="269"/>
    </row>
    <row r="8" spans="1:21" s="267" customFormat="1">
      <c r="B8" s="268"/>
      <c r="C8" s="268"/>
      <c r="D8" s="268"/>
      <c r="E8" s="268"/>
      <c r="F8" s="265"/>
      <c r="G8" s="265"/>
    </row>
    <row r="9" spans="1:21" s="267" customFormat="1">
      <c r="A9" s="267" t="s">
        <v>231</v>
      </c>
      <c r="B9" s="268"/>
      <c r="C9" s="268"/>
      <c r="D9" s="268"/>
      <c r="E9" s="268"/>
      <c r="F9" s="265"/>
      <c r="G9" s="265"/>
      <c r="I9" s="267" t="s">
        <v>233</v>
      </c>
    </row>
    <row r="10" spans="1:21" s="267" customFormat="1">
      <c r="B10" s="268"/>
      <c r="C10" s="268"/>
      <c r="D10" s="268"/>
      <c r="E10" s="268"/>
      <c r="F10" s="265"/>
      <c r="G10" s="265"/>
    </row>
    <row r="11" spans="1:21" s="267" customFormat="1" ht="12" customHeight="1">
      <c r="B11" s="270" t="s">
        <v>1</v>
      </c>
      <c r="C11" s="270" t="s">
        <v>2</v>
      </c>
      <c r="D11" s="270" t="s">
        <v>3</v>
      </c>
      <c r="E11" s="270" t="s">
        <v>220</v>
      </c>
      <c r="F11" s="270" t="s">
        <v>211</v>
      </c>
      <c r="G11" s="270" t="s">
        <v>221</v>
      </c>
      <c r="H11" s="417"/>
      <c r="J11" s="434" t="s">
        <v>234</v>
      </c>
      <c r="K11" s="434" t="s">
        <v>242</v>
      </c>
      <c r="L11" s="431" t="s">
        <v>235</v>
      </c>
      <c r="M11" s="432"/>
      <c r="N11" s="433"/>
    </row>
    <row r="12" spans="1:21" s="267" customFormat="1" ht="12" customHeight="1">
      <c r="A12" s="271"/>
      <c r="B12" s="272">
        <f>入力!$C$17</f>
        <v>10</v>
      </c>
      <c r="C12" s="273">
        <f>入力!$C$19</f>
        <v>7</v>
      </c>
      <c r="D12" s="273">
        <f>入力!$G$17</f>
        <v>11.133365069221741</v>
      </c>
      <c r="E12" s="274">
        <f>入力!$C$18</f>
        <v>2400</v>
      </c>
      <c r="F12" s="273">
        <f>入力!$G$18</f>
        <v>102.11402709994887</v>
      </c>
      <c r="G12" s="275">
        <f>入力!$G$19</f>
        <v>0.53879479285362786</v>
      </c>
      <c r="H12" s="367"/>
      <c r="J12" s="435"/>
      <c r="K12" s="435"/>
      <c r="L12" s="276" t="s">
        <v>239</v>
      </c>
      <c r="M12" s="277" t="s">
        <v>237</v>
      </c>
      <c r="N12" s="278" t="s">
        <v>238</v>
      </c>
    </row>
    <row r="13" spans="1:21" s="267" customFormat="1">
      <c r="B13" s="268"/>
      <c r="C13" s="268"/>
      <c r="D13" s="268"/>
      <c r="E13" s="268"/>
      <c r="F13" s="265"/>
      <c r="G13" s="265"/>
      <c r="H13" s="265"/>
      <c r="J13" s="275">
        <f>入力!C24</f>
        <v>1.7</v>
      </c>
      <c r="K13" s="272">
        <f>入力!C25</f>
        <v>120</v>
      </c>
      <c r="L13" s="396" t="s">
        <v>236</v>
      </c>
      <c r="M13" s="280">
        <f>入力!C32</f>
        <v>0.75</v>
      </c>
      <c r="N13" s="281">
        <f>入力!C33</f>
        <v>0.65</v>
      </c>
    </row>
    <row r="14" spans="1:21" s="267" customFormat="1">
      <c r="A14" s="264" t="s">
        <v>205</v>
      </c>
      <c r="B14" s="268"/>
      <c r="C14" s="268"/>
      <c r="D14" s="268"/>
      <c r="E14" s="268"/>
      <c r="F14" s="265"/>
      <c r="G14" s="265"/>
    </row>
    <row r="15" spans="1:21" s="267" customFormat="1">
      <c r="B15" s="282"/>
      <c r="C15" s="282"/>
      <c r="D15" s="282"/>
      <c r="E15" s="282"/>
      <c r="F15" s="265"/>
      <c r="G15" s="265"/>
    </row>
    <row r="16" spans="1:21" s="283" customFormat="1">
      <c r="B16" s="376" t="s">
        <v>263</v>
      </c>
      <c r="C16" s="284"/>
      <c r="D16" s="284"/>
      <c r="E16" s="284"/>
      <c r="F16" s="285"/>
      <c r="G16" s="285"/>
      <c r="I16" s="283" t="s">
        <v>226</v>
      </c>
    </row>
    <row r="17" spans="2:21" s="267" customFormat="1">
      <c r="B17" s="286" t="s">
        <v>216</v>
      </c>
      <c r="C17" s="286" t="s">
        <v>217</v>
      </c>
      <c r="D17" s="286" t="s">
        <v>218</v>
      </c>
      <c r="E17" s="287" t="s">
        <v>220</v>
      </c>
      <c r="F17" s="286" t="s">
        <v>219</v>
      </c>
      <c r="G17" s="286" t="s">
        <v>222</v>
      </c>
      <c r="I17" s="288"/>
      <c r="J17" s="289"/>
      <c r="K17" s="290"/>
      <c r="L17" s="291"/>
      <c r="M17" s="428" t="s">
        <v>129</v>
      </c>
      <c r="N17" s="428"/>
      <c r="O17" s="428"/>
      <c r="P17" s="428"/>
      <c r="Q17" s="428" t="s">
        <v>130</v>
      </c>
      <c r="R17" s="428"/>
      <c r="S17" s="428" t="s">
        <v>223</v>
      </c>
      <c r="T17" s="428"/>
    </row>
    <row r="18" spans="2:21" s="267" customFormat="1" ht="12" customHeight="1">
      <c r="B18" s="292"/>
      <c r="C18" s="292" t="s">
        <v>244</v>
      </c>
      <c r="D18" s="292" t="s">
        <v>245</v>
      </c>
      <c r="E18" s="293" t="s">
        <v>135</v>
      </c>
      <c r="F18" s="294" t="s">
        <v>253</v>
      </c>
      <c r="G18" s="292"/>
      <c r="I18" s="295"/>
      <c r="J18" s="296" t="s">
        <v>131</v>
      </c>
      <c r="K18" s="297" t="s">
        <v>133</v>
      </c>
      <c r="L18" s="298" t="s">
        <v>132</v>
      </c>
      <c r="M18" s="299" t="s">
        <v>215</v>
      </c>
      <c r="N18" s="300" t="s">
        <v>134</v>
      </c>
      <c r="O18" s="300" t="s">
        <v>218</v>
      </c>
      <c r="P18" s="301" t="s">
        <v>221</v>
      </c>
      <c r="Q18" s="299" t="s">
        <v>220</v>
      </c>
      <c r="R18" s="301" t="s">
        <v>221</v>
      </c>
      <c r="S18" s="299" t="s">
        <v>214</v>
      </c>
      <c r="T18" s="301" t="s">
        <v>134</v>
      </c>
    </row>
    <row r="19" spans="2:21" s="267" customFormat="1">
      <c r="B19" s="302">
        <v>10</v>
      </c>
      <c r="C19" s="303">
        <f>IFERROR(VLOOKUP($B19,'a（自動）計算用'!$E$5:$K$115,3,FALSE),"")</f>
        <v>7.005377668918638</v>
      </c>
      <c r="D19" s="303">
        <f>IFERROR(VLOOKUP($B19,'a（自動）計算用'!$E$5:$K$115,5,FALSE),"")</f>
        <v>11.138932082557449</v>
      </c>
      <c r="E19" s="304">
        <f>IFERROR(VLOOKUP($B19,'a（自動）計算用'!$E$5:$K$115,2,FALSE),"")</f>
        <v>2400</v>
      </c>
      <c r="F19" s="303">
        <f>IFERROR(VLOOKUP($B19,'a（自動）計算用'!$E$5:$K$115,4,FALSE),"")</f>
        <v>102.2800111677394</v>
      </c>
      <c r="G19" s="305">
        <f>IFERROR(VLOOKUP($B19,'a（自動）計算用'!$E$5:$K$115,7,FALSE),"")</f>
        <v>0.53</v>
      </c>
      <c r="I19" s="306"/>
      <c r="J19" s="307"/>
      <c r="K19" s="294" t="s">
        <v>136</v>
      </c>
      <c r="L19" s="308"/>
      <c r="M19" s="307" t="s">
        <v>135</v>
      </c>
      <c r="N19" s="294" t="s">
        <v>253</v>
      </c>
      <c r="O19" s="294" t="s">
        <v>137</v>
      </c>
      <c r="P19" s="308"/>
      <c r="Q19" s="307" t="s">
        <v>135</v>
      </c>
      <c r="R19" s="308"/>
      <c r="S19" s="309" t="s">
        <v>138</v>
      </c>
      <c r="T19" s="294" t="s">
        <v>253</v>
      </c>
    </row>
    <row r="20" spans="2:21" s="267" customFormat="1">
      <c r="B20" s="310">
        <v>15</v>
      </c>
      <c r="C20" s="311">
        <f>IFERROR(VLOOKUP($B20,'a（自動）計算用'!$E$5:$K$115,3,FALSE),"")</f>
        <v>10.290382189294702</v>
      </c>
      <c r="D20" s="311">
        <f>IFERROR(VLOOKUP($B20,'a（自動）計算用'!$E$5:$K$115,5,FALSE),"")</f>
        <v>14.15072273584609</v>
      </c>
      <c r="E20" s="312">
        <f>IFERROR(VLOOKUP($B20,'a（自動）計算用'!$E$5:$K$115,2,FALSE),"")</f>
        <v>2321.3807070057342</v>
      </c>
      <c r="F20" s="311">
        <f>IFERROR(VLOOKUP($B20,'a（自動）計算用'!$E$5:$K$115,4,FALSE),"")</f>
        <v>219.66196464449416</v>
      </c>
      <c r="G20" s="313">
        <f>IFERROR(VLOOKUP($B20,'a（自動）計算用'!$E$5:$K$115,7,FALSE),"")</f>
        <v>0.7</v>
      </c>
      <c r="I20" s="314" t="s">
        <v>139</v>
      </c>
      <c r="J20" s="315">
        <f>入力!$C$17</f>
        <v>10</v>
      </c>
      <c r="K20" s="316">
        <f>入力!$C$19</f>
        <v>7</v>
      </c>
      <c r="L20" s="317"/>
      <c r="M20" s="318">
        <f>入力!$C$18</f>
        <v>2400</v>
      </c>
      <c r="N20" s="319">
        <f>入力!$G$18</f>
        <v>102.11402709994887</v>
      </c>
      <c r="O20" s="320">
        <f>入力!$G$17</f>
        <v>11.133365069221741</v>
      </c>
      <c r="P20" s="321">
        <f>IFERROR(直径材積計算!$X$115,"-")</f>
        <v>0.53879479285362786</v>
      </c>
      <c r="Q20" s="315"/>
      <c r="R20" s="317"/>
      <c r="S20" s="322"/>
      <c r="T20" s="317"/>
    </row>
    <row r="21" spans="2:21" s="267" customFormat="1">
      <c r="B21" s="310">
        <v>20</v>
      </c>
      <c r="C21" s="311">
        <f>IFERROR(VLOOKUP($B21,'a（自動）計算用'!$E$5:$K$115,3,FALSE),"")</f>
        <v>13.261749704127018</v>
      </c>
      <c r="D21" s="311">
        <f>IFERROR(VLOOKUP($B21,'a（自動）計算用'!$E$5:$K$115,5,FALSE),"")</f>
        <v>18.373665098837925</v>
      </c>
      <c r="E21" s="312">
        <f>IFERROR(VLOOKUP($B21,'a（自動）計算用'!$E$5:$K$115,2,FALSE),"")</f>
        <v>1603.0043655536742</v>
      </c>
      <c r="F21" s="311">
        <f>IFERROR(VLOOKUP($B21,'a（自動）計算用'!$E$5:$K$115,4,FALSE),"")</f>
        <v>301.82981555955007</v>
      </c>
      <c r="G21" s="313">
        <f>IFERROR(VLOOKUP($B21,'a（自動）計算用'!$E$5:$K$115,7,FALSE),"")</f>
        <v>0.69</v>
      </c>
      <c r="I21" s="323" t="s">
        <v>118</v>
      </c>
      <c r="J21" s="324">
        <f>IFERROR(入力!C38,"")</f>
        <v>18</v>
      </c>
      <c r="K21" s="325">
        <f>IF(入力!$C38="","",VLOOKUP($J21,'a（自動）計算用'!$E$5:$V$115,3,FALSE))</f>
        <v>12.111232869455735</v>
      </c>
      <c r="L21" s="326">
        <f>IFERROR(入力!D38,"")</f>
        <v>0.29164769191177509</v>
      </c>
      <c r="M21" s="327">
        <f>IF(入力!$C38="","",VLOOKUP(J21,'a（自動）計算用'!$E$5:$V$115,2,FALSE))</f>
        <v>2263.0043655536742</v>
      </c>
      <c r="N21" s="328">
        <f>IF(入力!$C38="","",VLOOKUP(J21,'a（自動）計算用'!$E$5:$V$115,4,FALSE))</f>
        <v>296.91335942972614</v>
      </c>
      <c r="O21" s="325">
        <f>IF(入力!$C38="","",VLOOKUP(J21,'a（自動）計算用'!$E$5:$V$115,5,FALSE))</f>
        <v>15.538911291599399</v>
      </c>
      <c r="P21" s="329">
        <f>IF(入力!$C38="","",VLOOKUP(J21,'a（自動）計算用'!$E$5:$V$115,7,FALSE))</f>
        <v>0.76</v>
      </c>
      <c r="Q21" s="327">
        <f>IF(入力!$C38="","",VLOOKUP(J21,'a（自動）計算用'!$E$5:$V$115,15,FALSE))</f>
        <v>1603.0043655536742</v>
      </c>
      <c r="R21" s="330">
        <f>IF(入力!$C38="","",VLOOKUP(J21,'a（自動）計算用'!$E$5:$V$115,18,FALSE))</f>
        <v>0.64972403633225939</v>
      </c>
      <c r="S21" s="327">
        <f>IF(入力!$C38="","",VLOOKUP(J21,'a（自動）計算用'!$E$5:$V$115,8,FALSE))</f>
        <v>660</v>
      </c>
      <c r="T21" s="331">
        <f>IF(入力!$C38="","",VLOOKUP(J21,'a（自動）計算用'!$E$5:$V$115,11,FALSE))</f>
        <v>44.805636812978037</v>
      </c>
    </row>
    <row r="22" spans="2:21" s="267" customFormat="1">
      <c r="B22" s="310">
        <v>25</v>
      </c>
      <c r="C22" s="311">
        <f>IFERROR(VLOOKUP($B22,'a（自動）計算用'!$E$5:$K$115,3,FALSE),"")</f>
        <v>15.919929651162615</v>
      </c>
      <c r="D22" s="311">
        <f>IFERROR(VLOOKUP($B22,'a（自動）計算用'!$E$5:$K$115,5,FALSE),"")</f>
        <v>22.542107957952606</v>
      </c>
      <c r="E22" s="312">
        <f>IFERROR(VLOOKUP($B22,'a（自動）計算用'!$E$5:$K$115,2,FALSE),"")</f>
        <v>1153.0043655536742</v>
      </c>
      <c r="F22" s="311">
        <f>IFERROR(VLOOKUP($B22,'a（自動）計算用'!$E$5:$K$115,4,FALSE),"")</f>
        <v>367.6659335211275</v>
      </c>
      <c r="G22" s="313">
        <f>IFERROR(VLOOKUP($B22,'a（自動）計算用'!$E$5:$K$115,7,FALSE),"")</f>
        <v>0.66</v>
      </c>
      <c r="I22" s="323" t="s">
        <v>119</v>
      </c>
      <c r="J22" s="324">
        <f>IFERROR(入力!C39,"")</f>
        <v>24</v>
      </c>
      <c r="K22" s="325">
        <f>IF(入力!$C39="","",VLOOKUP($J22,'a（自動）計算用'!$E$5:$V$115,3,FALSE))</f>
        <v>15.412805825357026</v>
      </c>
      <c r="L22" s="326">
        <f>IFERROR(入力!D39,"")</f>
        <v>0.28072287865826928</v>
      </c>
      <c r="M22" s="327">
        <f>IF(入力!$C39="","",VLOOKUP(J22,'a（自動）計算用'!$E$5:$V$115,2,FALSE))</f>
        <v>1603.0043655536742</v>
      </c>
      <c r="N22" s="328">
        <f>IF(入力!$C39="","",VLOOKUP(J22,'a（自動）計算用'!$E$5:$V$115,4,FALSE))</f>
        <v>403.35587238814719</v>
      </c>
      <c r="O22" s="325">
        <f>IF(入力!$C39="","",VLOOKUP(J22,'a（自動）計算用'!$E$5:$V$115,5,FALSE))</f>
        <v>19.850943424101803</v>
      </c>
      <c r="P22" s="329">
        <f>IF(入力!$C39="","",VLOOKUP(J22,'a（自動）計算用'!$E$5:$V$115,7,FALSE))</f>
        <v>0.75</v>
      </c>
      <c r="Q22" s="327">
        <f>IF(入力!$C39="","",VLOOKUP(J22,'a（自動）計算用'!$E$5:$V$115,15,FALSE))</f>
        <v>1153.0043655536742</v>
      </c>
      <c r="R22" s="330">
        <f>IF(入力!$C39="","",VLOOKUP(J22,'a（自動）計算用'!$E$5:$V$115,18,FALSE))</f>
        <v>0.64812840840829267</v>
      </c>
      <c r="S22" s="327">
        <f>IF(入力!$C39="","",VLOOKUP(J22,'a（自動）計算用'!$E$5:$V$115,8,FALSE))</f>
        <v>450</v>
      </c>
      <c r="T22" s="331">
        <f>IF(入力!$C39="","",VLOOKUP(J22,'a（自動）計算用'!$E$5:$V$115,11,FALSE))</f>
        <v>58.722450370860599</v>
      </c>
    </row>
    <row r="23" spans="2:21" s="267" customFormat="1">
      <c r="B23" s="310">
        <v>30</v>
      </c>
      <c r="C23" s="311">
        <f>IFERROR(VLOOKUP($B23,'a（自動）計算用'!$E$5:$K$115,3,FALSE),"")</f>
        <v>18.278708131736447</v>
      </c>
      <c r="D23" s="311">
        <f>IFERROR(VLOOKUP($B23,'a（自動）計算用'!$E$5:$K$115,5,FALSE),"")</f>
        <v>24.239799428023662</v>
      </c>
      <c r="E23" s="312">
        <f>IFERROR(VLOOKUP($B23,'a（自動）計算用'!$E$5:$K$115,2,FALSE),"")</f>
        <v>1153.0043655536742</v>
      </c>
      <c r="F23" s="311">
        <f>IFERROR(VLOOKUP($B23,'a（自動）計算用'!$E$5:$K$115,4,FALSE),"")</f>
        <v>481.99722450965783</v>
      </c>
      <c r="G23" s="313">
        <f>IFERROR(VLOOKUP($B23,'a（自動）計算用'!$E$5:$K$115,7,FALSE),"")</f>
        <v>0.72</v>
      </c>
      <c r="I23" s="323" t="s">
        <v>120</v>
      </c>
      <c r="J23" s="324">
        <f>IFERROR(入力!C40,"")</f>
        <v>33</v>
      </c>
      <c r="K23" s="325">
        <f>IF(入力!$C40="","",VLOOKUP($J23,'a（自動）計算用'!$E$5:$V$115,3,FALSE))</f>
        <v>19.558593363470184</v>
      </c>
      <c r="L23" s="326">
        <f>IFERROR(入力!D40,"")</f>
        <v>0.27753580954252116</v>
      </c>
      <c r="M23" s="327">
        <f>IF(入力!$C40="","",VLOOKUP(J23,'a（自動）計算用'!$E$5:$V$115,2,FALSE))</f>
        <v>1153.0043655536742</v>
      </c>
      <c r="N23" s="328">
        <f>IF(入力!$C40="","",VLOOKUP(J23,'a（自動）計算用'!$E$5:$V$115,4,FALSE))</f>
        <v>548.62848431566863</v>
      </c>
      <c r="O23" s="325">
        <f>IF(入力!$C40="","",VLOOKUP(J23,'a（自動）計算用'!$E$5:$V$115,5,FALSE))</f>
        <v>25.068245738886567</v>
      </c>
      <c r="P23" s="329">
        <f>IF(入力!$C40="","",VLOOKUP(J23,'a（自動）計算用'!$E$5:$V$115,7,FALSE))</f>
        <v>0.75</v>
      </c>
      <c r="Q23" s="327">
        <f>IF(入力!$C40="","",VLOOKUP(J23,'a（自動）計算用'!$E$5:$V$115,15,FALSE))</f>
        <v>833.00436555367423</v>
      </c>
      <c r="R23" s="330">
        <f>IF(入力!$C40="","",VLOOKUP(J23,'a（自動）計算用'!$E$5:$V$115,18,FALSE))</f>
        <v>0.64672884258404628</v>
      </c>
      <c r="S23" s="327">
        <f>IF(入力!$C40="","",VLOOKUP(J23,'a（自動）計算用'!$E$5:$V$115,8,FALSE))</f>
        <v>320</v>
      </c>
      <c r="T23" s="331">
        <f>IF(入力!$C40="","",VLOOKUP(J23,'a（自動）計算用'!$E$5:$V$115,11,FALSE))</f>
        <v>79.12341152330589</v>
      </c>
    </row>
    <row r="24" spans="2:21" s="267" customFormat="1">
      <c r="B24" s="310">
        <v>35</v>
      </c>
      <c r="C24" s="311">
        <f>IFERROR(VLOOKUP($B24,'a（自動）計算用'!$E$5:$K$115,3,FALSE),"")</f>
        <v>20.358566807421841</v>
      </c>
      <c r="D24" s="311">
        <f>IFERROR(VLOOKUP($B24,'a（自動）計算用'!$E$5:$K$115,5,FALSE),"")</f>
        <v>28.461133192967722</v>
      </c>
      <c r="E24" s="312">
        <f>IFERROR(VLOOKUP($B24,'a（自動）計算用'!$E$5:$K$115,2,FALSE),"")</f>
        <v>833.00436555367423</v>
      </c>
      <c r="F24" s="311">
        <f>IFERROR(VLOOKUP($B24,'a（自動）計算用'!$E$5:$K$115,4,FALSE),"")</f>
        <v>508.65706167433763</v>
      </c>
      <c r="G24" s="313">
        <f>IFERROR(VLOOKUP($B24,'a（自動）計算用'!$E$5:$K$115,7,FALSE),"")</f>
        <v>0.66</v>
      </c>
      <c r="I24" s="323" t="s">
        <v>121</v>
      </c>
      <c r="J24" s="324">
        <f>IFERROR(入力!C41,"")</f>
        <v>48</v>
      </c>
      <c r="K24" s="325">
        <f>IF(入力!$C41="","",VLOOKUP($J24,'a（自動）計算用'!$E$5:$V$115,3,FALSE))</f>
        <v>24.64053824799684</v>
      </c>
      <c r="L24" s="326">
        <f>IFERROR(入力!D41,"")</f>
        <v>0.26410425814968241</v>
      </c>
      <c r="M24" s="327">
        <f>IF(入力!$C41="","",VLOOKUP(J24,'a（自動）計算用'!$E$5:$V$115,2,FALSE))</f>
        <v>833.00436555367423</v>
      </c>
      <c r="N24" s="328">
        <f>IF(入力!$C41="","",VLOOKUP(J24,'a（自動）計算用'!$E$5:$V$115,4,FALSE))</f>
        <v>737.44583423342112</v>
      </c>
      <c r="O24" s="325">
        <f>IF(入力!$C41="","",VLOOKUP(J24,'a（自動）計算用'!$E$5:$V$115,5,FALSE))</f>
        <v>31.367361590533299</v>
      </c>
      <c r="P24" s="329">
        <f>IF(入力!$C41="","",VLOOKUP(J24,'a（自動）計算用'!$E$5:$V$115,7,FALSE))</f>
        <v>0.75</v>
      </c>
      <c r="Q24" s="327">
        <f>IF(入力!$C41="","",VLOOKUP(J24,'a（自動）計算用'!$E$5:$V$115,15,FALSE))</f>
        <v>613.00436555367423</v>
      </c>
      <c r="R24" s="330">
        <f>IF(入力!$C41="","",VLOOKUP(J24,'a（自動）計算用'!$E$5:$V$115,18,FALSE))</f>
        <v>0.64824320577467209</v>
      </c>
      <c r="S24" s="327">
        <f>IF(入力!$C41="","",VLOOKUP(J24,'a（自動）計算用'!$E$5:$V$115,8,FALSE))</f>
        <v>220</v>
      </c>
      <c r="T24" s="331">
        <f>IF(入力!$C41="","",VLOOKUP(J24,'a（自動）計算用'!$E$5:$V$115,11,FALSE))</f>
        <v>100.98854096032574</v>
      </c>
    </row>
    <row r="25" spans="2:21" s="267" customFormat="1">
      <c r="B25" s="310">
        <v>40</v>
      </c>
      <c r="C25" s="311">
        <f>IFERROR(VLOOKUP($B25,'a（自動）計算用'!$E$5:$K$115,3,FALSE),"")</f>
        <v>22.183923011010634</v>
      </c>
      <c r="D25" s="311">
        <f>IFERROR(VLOOKUP($B25,'a（自動）計算用'!$E$5:$K$115,5,FALSE),"")</f>
        <v>29.770326614206979</v>
      </c>
      <c r="E25" s="312">
        <f>IFERROR(VLOOKUP($B25,'a（自動）計算用'!$E$5:$K$115,2,FALSE),"")</f>
        <v>833.00436555367423</v>
      </c>
      <c r="F25" s="311">
        <f>IFERROR(VLOOKUP($B25,'a（自動）計算用'!$E$5:$K$115,4,FALSE),"")</f>
        <v>602.37715849247434</v>
      </c>
      <c r="G25" s="313">
        <f>IFERROR(VLOOKUP($B25,'a（自動）計算用'!$E$5:$K$115,7,FALSE),"")</f>
        <v>0.7</v>
      </c>
      <c r="I25" s="323" t="s">
        <v>122</v>
      </c>
      <c r="J25" s="324">
        <f>IFERROR(入力!C42,"")</f>
        <v>84</v>
      </c>
      <c r="K25" s="325">
        <f>IF(入力!$C42="","",VLOOKUP($J25,'a（自動）計算用'!$E$5:$V$115,3,FALSE))</f>
        <v>30.951588530301056</v>
      </c>
      <c r="L25" s="326">
        <f>IFERROR(入力!D42,"")</f>
        <v>0.26100956043842483</v>
      </c>
      <c r="M25" s="327">
        <f>IF(入力!$C42="","",VLOOKUP(J25,'a（自動）計算用'!$E$5:$V$115,2,FALSE))</f>
        <v>613.00436555367423</v>
      </c>
      <c r="N25" s="328">
        <f>IF(入力!$C42="","",VLOOKUP(J25,'a（自動）計算用'!$E$5:$V$115,4,FALSE))</f>
        <v>993.7414732197235</v>
      </c>
      <c r="O25" s="325">
        <f>IF(入力!$C42="","",VLOOKUP(J25,'a（自動）計算用'!$E$5:$V$115,5,FALSE))</f>
        <v>38.810019105480187</v>
      </c>
      <c r="P25" s="329">
        <f>IF(入力!$C42="","",VLOOKUP(J25,'a（自動）計算用'!$E$5:$V$115,7,FALSE))</f>
        <v>0.75</v>
      </c>
      <c r="Q25" s="327">
        <f>IF(入力!$C42="","",VLOOKUP(J25,'a（自動）計算用'!$E$5:$V$115,15,FALSE))</f>
        <v>453.00436555367423</v>
      </c>
      <c r="R25" s="330">
        <f>IF(入力!$C42="","",VLOOKUP(J25,'a（自動）計算用'!$E$5:$V$115,18,FALSE))</f>
        <v>0.64983396450404562</v>
      </c>
      <c r="S25" s="327">
        <f>IF(入力!$C42="","",VLOOKUP(J25,'a（自動）計算用'!$E$5:$V$115,8,FALSE))</f>
        <v>160</v>
      </c>
      <c r="T25" s="331">
        <f>IF(入力!$C42="","",VLOOKUP(J25,'a（自動）計算用'!$E$5:$V$115,11,FALSE))</f>
        <v>134.1855237130867</v>
      </c>
    </row>
    <row r="26" spans="2:21" s="267" customFormat="1">
      <c r="B26" s="310">
        <v>45</v>
      </c>
      <c r="C26" s="311">
        <f>IFERROR(VLOOKUP($B26,'a（自動）計算用'!$E$5:$K$115,3,FALSE),"")</f>
        <v>23.780979559582203</v>
      </c>
      <c r="D26" s="311">
        <f>IFERROR(VLOOKUP($B26,'a（自動）計算用'!$E$5:$K$115,5,FALSE),"")</f>
        <v>30.828433967991618</v>
      </c>
      <c r="E26" s="312">
        <f>IFERROR(VLOOKUP($B26,'a（自動）計算用'!$E$5:$K$115,2,FALSE),"")</f>
        <v>833.00436555367423</v>
      </c>
      <c r="F26" s="311">
        <f>IFERROR(VLOOKUP($B26,'a（自動）計算用'!$E$5:$K$115,4,FALSE),"")</f>
        <v>689.07624840194057</v>
      </c>
      <c r="G26" s="313">
        <f>IFERROR(VLOOKUP($B26,'a（自動）計算用'!$E$5:$K$115,7,FALSE),"")</f>
        <v>0.73</v>
      </c>
      <c r="I26" s="323" t="s">
        <v>123</v>
      </c>
      <c r="J26" s="324" t="str">
        <f>IFERROR(入力!C43,"")</f>
        <v/>
      </c>
      <c r="K26" s="325" t="str">
        <f>IF(入力!$C43="","",VLOOKUP($J26,'a（自動）計算用'!$E$5:$V$115,3,FALSE))</f>
        <v/>
      </c>
      <c r="L26" s="326" t="str">
        <f>IFERROR(入力!D43,"")</f>
        <v/>
      </c>
      <c r="M26" s="327" t="str">
        <f>IF(入力!$C43="","",VLOOKUP(J26,'a（自動）計算用'!$E$5:$V$115,2,FALSE))</f>
        <v/>
      </c>
      <c r="N26" s="328" t="str">
        <f>IF(入力!$C43="","",VLOOKUP(J26,'a（自動）計算用'!$E$5:$V$115,4,FALSE))</f>
        <v/>
      </c>
      <c r="O26" s="325" t="str">
        <f>IF(入力!$C43="","",VLOOKUP(J26,'a（自動）計算用'!$E$5:$V$115,5,FALSE))</f>
        <v/>
      </c>
      <c r="P26" s="329" t="str">
        <f>IF(入力!$C43="","",VLOOKUP(J26,'a（自動）計算用'!$E$5:$V$115,7,FALSE))</f>
        <v/>
      </c>
      <c r="Q26" s="327" t="str">
        <f>IF(入力!$C43="","",VLOOKUP(J26,'a（自動）計算用'!$E$5:$V$115,15,FALSE))</f>
        <v/>
      </c>
      <c r="R26" s="330" t="str">
        <f>IF(入力!$C43="","",VLOOKUP(J26,'a（自動）計算用'!$E$5:$V$115,18,FALSE))</f>
        <v/>
      </c>
      <c r="S26" s="327" t="str">
        <f>IF(入力!$C43="","",VLOOKUP(J26,'a（自動）計算用'!$E$5:$V$115,8,FALSE))</f>
        <v/>
      </c>
      <c r="T26" s="331" t="str">
        <f>IF(入力!$C43="","",VLOOKUP(J26,'a（自動）計算用'!$E$5:$V$115,11,FALSE))</f>
        <v/>
      </c>
    </row>
    <row r="27" spans="2:21" s="267" customFormat="1">
      <c r="B27" s="310">
        <v>50</v>
      </c>
      <c r="C27" s="311">
        <f>IFERROR(VLOOKUP($B27,'a（自動）計算用'!$E$5:$K$115,3,FALSE),"")</f>
        <v>25.175839841701567</v>
      </c>
      <c r="D27" s="311">
        <f>IFERROR(VLOOKUP($B27,'a（自動）計算用'!$E$5:$K$115,5,FALSE),"")</f>
        <v>34.965136950983052</v>
      </c>
      <c r="E27" s="312">
        <f>IFERROR(VLOOKUP($B27,'a（自動）計算用'!$E$5:$K$115,2,FALSE),"")</f>
        <v>613.00436555367423</v>
      </c>
      <c r="F27" s="311">
        <f>IFERROR(VLOOKUP($B27,'a（自動）計算用'!$E$5:$K$115,4,FALSE),"")</f>
        <v>664.42136386514278</v>
      </c>
      <c r="G27" s="313">
        <f>IFERROR(VLOOKUP($B27,'a（自動）計算用'!$E$5:$K$115,7,FALSE),"")</f>
        <v>0.65</v>
      </c>
      <c r="I27" s="323" t="s">
        <v>124</v>
      </c>
      <c r="J27" s="324" t="str">
        <f>IFERROR(入力!C44,"")</f>
        <v/>
      </c>
      <c r="K27" s="325" t="str">
        <f>IF(入力!$C44="","",VLOOKUP($J27,'a（自動）計算用'!$E$5:$V$115,3,FALSE))</f>
        <v/>
      </c>
      <c r="L27" s="326" t="str">
        <f>IFERROR(入力!D44,"")</f>
        <v/>
      </c>
      <c r="M27" s="327" t="str">
        <f>IF(入力!$C44="","",VLOOKUP(J27,'a（自動）計算用'!$E$5:$V$115,2,FALSE))</f>
        <v/>
      </c>
      <c r="N27" s="328" t="str">
        <f>IF(入力!$C44="","",VLOOKUP(J27,'a（自動）計算用'!$E$5:$V$115,4,FALSE))</f>
        <v/>
      </c>
      <c r="O27" s="325" t="str">
        <f>IF(入力!$C44="","",VLOOKUP(J27,'a（自動）計算用'!$E$5:$V$115,5,FALSE))</f>
        <v/>
      </c>
      <c r="P27" s="329" t="str">
        <f>IF(入力!$C44="","",VLOOKUP(J27,'a（自動）計算用'!$E$5:$V$115,7,FALSE))</f>
        <v/>
      </c>
      <c r="Q27" s="327" t="str">
        <f>IF(入力!$C44="","",VLOOKUP(J27,'a（自動）計算用'!$E$5:$V$115,15,FALSE))</f>
        <v/>
      </c>
      <c r="R27" s="330" t="str">
        <f>IF(入力!$C44="","",VLOOKUP(J27,'a（自動）計算用'!$E$5:$V$115,18,FALSE))</f>
        <v/>
      </c>
      <c r="S27" s="327" t="str">
        <f>IF(入力!$C44="","",VLOOKUP(J27,'a（自動）計算用'!$E$5:$V$115,8,FALSE))</f>
        <v/>
      </c>
      <c r="T27" s="331" t="str">
        <f>IF(入力!$C44="","",VLOOKUP(J27,'a（自動）計算用'!$E$5:$V$115,11,FALSE))</f>
        <v/>
      </c>
    </row>
    <row r="28" spans="2:21" s="267" customFormat="1">
      <c r="B28" s="310">
        <v>55</v>
      </c>
      <c r="C28" s="311">
        <f>IFERROR(VLOOKUP($B28,'a（自動）計算用'!$E$5:$K$115,3,FALSE),"")</f>
        <v>26.393136822696903</v>
      </c>
      <c r="D28" s="311">
        <f>IFERROR(VLOOKUP($B28,'a（自動）計算用'!$E$5:$K$115,5,FALSE),"")</f>
        <v>35.845303961474485</v>
      </c>
      <c r="E28" s="312">
        <f>IFERROR(VLOOKUP($B28,'a（自動）計算用'!$E$5:$K$115,2,FALSE),"")</f>
        <v>613.00436555367423</v>
      </c>
      <c r="F28" s="311">
        <f>IFERROR(VLOOKUP($B28,'a（自動）計算用'!$E$5:$K$115,4,FALSE),"")</f>
        <v>729.71452716636975</v>
      </c>
      <c r="G28" s="313">
        <f>IFERROR(VLOOKUP($B28,'a（自動）計算用'!$E$5:$K$115,7,FALSE),"")</f>
        <v>0.67</v>
      </c>
      <c r="I28" s="323" t="s">
        <v>125</v>
      </c>
      <c r="J28" s="324" t="str">
        <f>IFERROR(入力!C45,"")</f>
        <v/>
      </c>
      <c r="K28" s="325" t="str">
        <f>IF(入力!$C45="","",VLOOKUP($J28,'a（自動）計算用'!$E$5:$V$115,3,FALSE))</f>
        <v/>
      </c>
      <c r="L28" s="326" t="str">
        <f>IFERROR(入力!D45,"")</f>
        <v/>
      </c>
      <c r="M28" s="327" t="str">
        <f>IF(入力!$C45="","",VLOOKUP(J28,'a（自動）計算用'!$E$5:$V$115,2,FALSE))</f>
        <v/>
      </c>
      <c r="N28" s="328" t="str">
        <f>IF(入力!$C45="","",VLOOKUP(J28,'a（自動）計算用'!$E$5:$V$115,4,FALSE))</f>
        <v/>
      </c>
      <c r="O28" s="325" t="str">
        <f>IF(入力!$C45="","",VLOOKUP(J28,'a（自動）計算用'!$E$5:$V$115,5,FALSE))</f>
        <v/>
      </c>
      <c r="P28" s="329" t="str">
        <f>IF(入力!$C45="","",VLOOKUP(J28,'a（自動）計算用'!$E$5:$V$115,7,FALSE))</f>
        <v/>
      </c>
      <c r="Q28" s="327" t="str">
        <f>IF(入力!$C45="","",VLOOKUP(J28,'a（自動）計算用'!$E$5:$V$115,15,FALSE))</f>
        <v/>
      </c>
      <c r="R28" s="330" t="str">
        <f>IF(入力!$C45="","",VLOOKUP(J28,'a（自動）計算用'!$E$5:$V$115,18,FALSE))</f>
        <v/>
      </c>
      <c r="S28" s="327" t="str">
        <f>IF(入力!$C45="","",VLOOKUP(J28,'a（自動）計算用'!$E$5:$V$115,8,FALSE))</f>
        <v/>
      </c>
      <c r="T28" s="331" t="str">
        <f>IF(入力!$C45="","",VLOOKUP(J28,'a（自動）計算用'!$E$5:$V$115,11,FALSE))</f>
        <v/>
      </c>
    </row>
    <row r="29" spans="2:21" s="267" customFormat="1">
      <c r="B29" s="310">
        <v>60</v>
      </c>
      <c r="C29" s="311">
        <f>IFERROR(VLOOKUP($B29,'a（自動）計算用'!$E$5:$K$115,3,FALSE),"")</f>
        <v>27.455270862155562</v>
      </c>
      <c r="D29" s="311">
        <f>IFERROR(VLOOKUP($B29,'a（自動）計算用'!$E$5:$K$115,5,FALSE),"")</f>
        <v>36.580822789173901</v>
      </c>
      <c r="E29" s="312">
        <f>IFERROR(VLOOKUP($B29,'a（自動）計算用'!$E$5:$K$115,2,FALSE),"")</f>
        <v>613.00436555367423</v>
      </c>
      <c r="F29" s="311">
        <f>IFERROR(VLOOKUP($B29,'a（自動）計算用'!$E$5:$K$115,4,FALSE),"")</f>
        <v>788.55321116412358</v>
      </c>
      <c r="G29" s="313">
        <f>IFERROR(VLOOKUP($B29,'a（自動）計算用'!$E$5:$K$115,7,FALSE),"")</f>
        <v>0.69</v>
      </c>
      <c r="I29" s="323" t="s">
        <v>126</v>
      </c>
      <c r="J29" s="324" t="str">
        <f>IFERROR(入力!C46,"")</f>
        <v/>
      </c>
      <c r="K29" s="325" t="str">
        <f>IF(入力!$C46="","",VLOOKUP($J29,'a（自動）計算用'!$E$5:$V$115,3,FALSE))</f>
        <v/>
      </c>
      <c r="L29" s="326" t="str">
        <f>IFERROR(入力!D46,"")</f>
        <v/>
      </c>
      <c r="M29" s="327" t="str">
        <f>IF(入力!$C46="","",VLOOKUP(J29,'a（自動）計算用'!$E$5:$V$115,2,FALSE))</f>
        <v/>
      </c>
      <c r="N29" s="328" t="str">
        <f>IF(入力!$C46="","",VLOOKUP(J29,'a（自動）計算用'!$E$5:$V$115,4,FALSE))</f>
        <v/>
      </c>
      <c r="O29" s="325" t="str">
        <f>IF(入力!$C46="","",VLOOKUP(J29,'a（自動）計算用'!$E$5:$V$115,5,FALSE))</f>
        <v/>
      </c>
      <c r="P29" s="329" t="str">
        <f>IF(入力!$C46="","",VLOOKUP(J29,'a（自動）計算用'!$E$5:$V$115,7,FALSE))</f>
        <v/>
      </c>
      <c r="Q29" s="327" t="str">
        <f>IF(入力!$C46="","",VLOOKUP(J29,'a（自動）計算用'!$E$5:$V$115,15,FALSE))</f>
        <v/>
      </c>
      <c r="R29" s="330" t="str">
        <f>IF(入力!$C46="","",VLOOKUP(J29,'a（自動）計算用'!$E$5:$V$115,18,FALSE))</f>
        <v/>
      </c>
      <c r="S29" s="327" t="str">
        <f>IF(入力!$C46="","",VLOOKUP(J29,'a（自動）計算用'!$E$5:$V$115,8,FALSE))</f>
        <v/>
      </c>
      <c r="T29" s="331" t="str">
        <f>IF(入力!$C46="","",VLOOKUP(J29,'a（自動）計算用'!$E$5:$V$115,11,FALSE))</f>
        <v/>
      </c>
    </row>
    <row r="30" spans="2:21" s="267" customFormat="1">
      <c r="B30" s="310">
        <v>65</v>
      </c>
      <c r="C30" s="311">
        <f>IFERROR(VLOOKUP($B30,'a（自動）計算用'!$E$5:$K$115,3,FALSE),"")</f>
        <v>28.382142898926077</v>
      </c>
      <c r="D30" s="311">
        <f>IFERROR(VLOOKUP($B30,'a（自動）計算用'!$E$5:$K$115,5,FALSE),"")</f>
        <v>37.19941436109827</v>
      </c>
      <c r="E30" s="312">
        <f>IFERROR(VLOOKUP($B30,'a（自動）計算用'!$E$5:$K$115,2,FALSE),"")</f>
        <v>613.00436555367423</v>
      </c>
      <c r="F30" s="311">
        <f>IFERROR(VLOOKUP($B30,'a（自動）計算用'!$E$5:$K$115,4,FALSE),"")</f>
        <v>841.26886658523256</v>
      </c>
      <c r="G30" s="313">
        <f>IFERROR(VLOOKUP($B30,'a（自動）計算用'!$E$5:$K$115,7,FALSE),"")</f>
        <v>0.71</v>
      </c>
      <c r="I30" s="332" t="s">
        <v>127</v>
      </c>
      <c r="J30" s="333" t="str">
        <f>IFERROR(入力!C47,"")</f>
        <v/>
      </c>
      <c r="K30" s="334" t="str">
        <f>IF(入力!$C47="","",VLOOKUP($J30,'a（自動）計算用'!$E$5:$V$115,3,FALSE))</f>
        <v/>
      </c>
      <c r="L30" s="335" t="str">
        <f>IFERROR(入力!D47,"")</f>
        <v/>
      </c>
      <c r="M30" s="336" t="str">
        <f>IF(入力!$C47="","",VLOOKUP(J30,'a（自動）計算用'!$E$5:$V$115,2,FALSE))</f>
        <v/>
      </c>
      <c r="N30" s="337" t="str">
        <f>IF(入力!$C47="","",VLOOKUP(J30,'a（自動）計算用'!$E$5:$V$115,4,FALSE))</f>
        <v/>
      </c>
      <c r="O30" s="334" t="str">
        <f>IF(入力!$C47="","",VLOOKUP(J30,'a（自動）計算用'!$E$5:$V$115,5,FALSE))</f>
        <v/>
      </c>
      <c r="P30" s="338" t="str">
        <f>IF(入力!$C47="","",VLOOKUP(J30,'a（自動）計算用'!$E$5:$V$115,7,FALSE))</f>
        <v/>
      </c>
      <c r="Q30" s="336" t="str">
        <f>IF(入力!$C47="","",VLOOKUP(J30,'a（自動）計算用'!$E$5:$V$115,15,FALSE))</f>
        <v/>
      </c>
      <c r="R30" s="339" t="str">
        <f>IF(入力!$C47="","",VLOOKUP(J30,'a（自動）計算用'!$E$5:$V$115,18,FALSE))</f>
        <v/>
      </c>
      <c r="S30" s="336" t="str">
        <f>IF(入力!$C47="","",VLOOKUP(J30,'a（自動）計算用'!$E$5:$V$115,8,FALSE))</f>
        <v/>
      </c>
      <c r="T30" s="340" t="str">
        <f>IF(入力!$C47="","",VLOOKUP(J30,'a（自動）計算用'!$E$5:$V$115,11,FALSE))</f>
        <v/>
      </c>
    </row>
    <row r="31" spans="2:21" s="267" customFormat="1">
      <c r="B31" s="310">
        <v>70</v>
      </c>
      <c r="C31" s="311">
        <f>IFERROR(VLOOKUP($B31,'a（自動）計算用'!$E$5:$K$115,3,FALSE),"")</f>
        <v>29.191199120888513</v>
      </c>
      <c r="D31" s="311">
        <f>IFERROR(VLOOKUP($B31,'a（自動）計算用'!$E$5:$K$115,5,FALSE),"")</f>
        <v>37.722557127258767</v>
      </c>
      <c r="E31" s="312">
        <f>IFERROR(VLOOKUP($B31,'a（自動）計算用'!$E$5:$K$115,2,FALSE),"")</f>
        <v>613.00436555367423</v>
      </c>
      <c r="F31" s="311">
        <f>IFERROR(VLOOKUP($B31,'a（自動）計算用'!$E$5:$K$115,4,FALSE),"")</f>
        <v>888.29417885413932</v>
      </c>
      <c r="G31" s="313">
        <f>IFERROR(VLOOKUP($B31,'a（自動）計算用'!$E$5:$K$115,7,FALSE),"")</f>
        <v>0.72</v>
      </c>
      <c r="I31" s="341" t="s">
        <v>140</v>
      </c>
      <c r="J31" s="342">
        <f>IF(入力!C25="",MAX(J21:J30),入力!C25)</f>
        <v>120</v>
      </c>
      <c r="K31" s="343">
        <f>IF(入力!$C48="","",VLOOKUP(J31,'a（自動）計算用'!$E$5:$V$115,3,FALSE))</f>
        <v>33.335489779502211</v>
      </c>
      <c r="L31" s="344"/>
      <c r="M31" s="345">
        <f>IF(入力!$C48="","",VLOOKUP(J31,'a（自動）計算用'!$E$5:$V$115,2,FALSE))</f>
        <v>453.00436555367423</v>
      </c>
      <c r="N31" s="346">
        <f>IF(入力!$C48="","",VLOOKUP(J31,'a（自動）計算用'!$E$5:$V$115,4,FALSE))</f>
        <v>996.11341931930667</v>
      </c>
      <c r="O31" s="343">
        <f>IF(入力!$C48="","",VLOOKUP(J31,'a（自動）計算用'!$E$5:$V$115,5,FALSE))</f>
        <v>44.320473741841305</v>
      </c>
      <c r="P31" s="347"/>
      <c r="Q31" s="348"/>
      <c r="R31" s="349"/>
      <c r="S31" s="350" t="s">
        <v>225</v>
      </c>
      <c r="T31" s="351">
        <f>SUM(T21:T30)</f>
        <v>417.82556338055696</v>
      </c>
    </row>
    <row r="32" spans="2:21" s="267" customFormat="1">
      <c r="B32" s="310">
        <v>75</v>
      </c>
      <c r="C32" s="311">
        <f>IFERROR(VLOOKUP($B32,'a（自動）計算用'!$E$5:$K$115,3,FALSE),"")</f>
        <v>29.897631157755349</v>
      </c>
      <c r="D32" s="311">
        <f>IFERROR(VLOOKUP($B32,'a（自動）計算用'!$E$5:$K$115,5,FALSE),"")</f>
        <v>38.167084833956942</v>
      </c>
      <c r="E32" s="312">
        <f>IFERROR(VLOOKUP($B32,'a（自動）計算用'!$E$5:$K$115,2,FALSE),"")</f>
        <v>613.00436555367423</v>
      </c>
      <c r="F32" s="311">
        <f>IFERROR(VLOOKUP($B32,'a（自動）計算用'!$E$5:$K$115,4,FALSE),"")</f>
        <v>930.10352914632563</v>
      </c>
      <c r="G32" s="313">
        <f>IFERROR(VLOOKUP($B32,'a（自動）計算用'!$E$5:$K$115,7,FALSE),"")</f>
        <v>0.73</v>
      </c>
      <c r="I32" s="418"/>
      <c r="J32" s="427" t="str">
        <f>CONCATENATE(" ",J31,"年生",C7,"の時の主伐材積：",ROUND(N31*入力!C12,0),"㎥、間伐材積：",ROUND(T31*入力!$C$12,0),"㎥")</f>
        <v xml:space="preserve"> 120年生　1haの時の主伐材積：996㎥、間伐材積：418㎥</v>
      </c>
      <c r="K32" s="427"/>
      <c r="L32" s="427"/>
      <c r="M32" s="427"/>
      <c r="N32" s="427"/>
      <c r="O32" s="427"/>
      <c r="P32" s="427"/>
      <c r="Q32" s="427"/>
      <c r="R32" s="427"/>
      <c r="S32" s="427"/>
      <c r="T32" s="427"/>
      <c r="U32" s="352"/>
    </row>
    <row r="33" spans="1:7" s="267" customFormat="1">
      <c r="B33" s="310">
        <v>80</v>
      </c>
      <c r="C33" s="311">
        <f>IFERROR(VLOOKUP($B33,'a（自動）計算用'!$E$5:$K$115,3,FALSE),"")</f>
        <v>30.514631570930302</v>
      </c>
      <c r="D33" s="311">
        <f>IFERROR(VLOOKUP($B33,'a（自動）計算用'!$E$5:$K$115,5,FALSE),"")</f>
        <v>38.546343624815997</v>
      </c>
      <c r="E33" s="312">
        <f>IFERROR(VLOOKUP($B33,'a（自動）計算用'!$E$5:$K$115,2,FALSE),"")</f>
        <v>613.00436555367423</v>
      </c>
      <c r="F33" s="311">
        <f>IFERROR(VLOOKUP($B33,'a（自動）計算用'!$E$5:$K$115,4,FALSE),"")</f>
        <v>967.17753431004644</v>
      </c>
      <c r="G33" s="313">
        <f>IFERROR(VLOOKUP($B33,'a（自動）計算用'!$E$5:$K$115,7,FALSE),"")</f>
        <v>0.74</v>
      </c>
    </row>
    <row r="34" spans="1:7" s="267" customFormat="1">
      <c r="B34" s="310">
        <v>85</v>
      </c>
      <c r="C34" s="311">
        <f>IFERROR(VLOOKUP($B34,'a（自動）計算用'!$E$5:$K$115,3,FALSE),"")</f>
        <v>31.053651329577239</v>
      </c>
      <c r="D34" s="311">
        <f>IFERROR(VLOOKUP($B34,'a（自動）計算用'!$E$5:$K$115,5,FALSE),"")</f>
        <v>42.711905271695571</v>
      </c>
      <c r="E34" s="312">
        <f>IFERROR(VLOOKUP($B34,'a（自動）計算用'!$E$5:$K$115,2,FALSE),"")</f>
        <v>453.00436555367423</v>
      </c>
      <c r="F34" s="311">
        <f>IFERROR(VLOOKUP($B34,'a（自動）計算用'!$E$5:$K$115,4,FALSE),"")</f>
        <v>865.24334382579036</v>
      </c>
      <c r="G34" s="313">
        <f>IFERROR(VLOOKUP($B34,'a（自動）計算用'!$E$5:$K$115,7,FALSE),"")</f>
        <v>0.65</v>
      </c>
    </row>
    <row r="35" spans="1:7" s="267" customFormat="1">
      <c r="B35" s="310">
        <v>90</v>
      </c>
      <c r="C35" s="311">
        <f>IFERROR(VLOOKUP($B35,'a（自動）計算用'!$E$5:$K$115,3,FALSE),"")</f>
        <v>31.52463577874099</v>
      </c>
      <c r="D35" s="311">
        <f>IFERROR(VLOOKUP($B35,'a（自動）計算用'!$E$5:$K$115,5,FALSE),"")</f>
        <v>43.053219760071975</v>
      </c>
      <c r="E35" s="312">
        <f>IFERROR(VLOOKUP($B35,'a（自動）計算用'!$E$5:$K$115,2,FALSE),"")</f>
        <v>453.00436555367423</v>
      </c>
      <c r="F35" s="311">
        <f>IFERROR(VLOOKUP($B35,'a（自動）計算用'!$E$5:$K$115,4,FALSE),"")</f>
        <v>891.6762360462576</v>
      </c>
      <c r="G35" s="313">
        <f>IFERROR(VLOOKUP($B35,'a（自動）計算用'!$E$5:$K$115,7,FALSE),"")</f>
        <v>0.65</v>
      </c>
    </row>
    <row r="36" spans="1:7" s="267" customFormat="1">
      <c r="B36" s="310">
        <v>95</v>
      </c>
      <c r="C36" s="311">
        <f>IFERROR(VLOOKUP($B36,'a（自動）計算用'!$E$5:$K$115,3,FALSE),"")</f>
        <v>31.936231631986093</v>
      </c>
      <c r="D36" s="311">
        <f>IFERROR(VLOOKUP($B36,'a（自動）計算用'!$E$5:$K$115,5,FALSE),"")</f>
        <v>43.34745071641025</v>
      </c>
      <c r="E36" s="312">
        <f>IFERROR(VLOOKUP($B36,'a（自動）計算用'!$E$5:$K$115,2,FALSE),"")</f>
        <v>453.00436555367423</v>
      </c>
      <c r="F36" s="311">
        <f>IFERROR(VLOOKUP($B36,'a（自動）計算用'!$E$5:$K$115,4,FALSE),"")</f>
        <v>915.02615146500659</v>
      </c>
      <c r="G36" s="313">
        <f>IFERROR(VLOOKUP($B36,'a（自動）計算用'!$E$5:$K$115,7,FALSE),"")</f>
        <v>0.66</v>
      </c>
    </row>
    <row r="37" spans="1:7" s="267" customFormat="1">
      <c r="B37" s="310">
        <v>100</v>
      </c>
      <c r="C37" s="311">
        <f>IFERROR(VLOOKUP($B37,'a（自動）計算用'!$E$5:$K$115,3,FALSE),"")</f>
        <v>32.295965004303454</v>
      </c>
      <c r="D37" s="311">
        <f>IFERROR(VLOOKUP($B37,'a（自動）計算用'!$E$5:$K$115,5,FALSE),"")</f>
        <v>43.601576528755324</v>
      </c>
      <c r="E37" s="312">
        <f>IFERROR(VLOOKUP($B37,'a（自動）計算用'!$E$5:$K$115,2,FALSE),"")</f>
        <v>453.00436555367423</v>
      </c>
      <c r="F37" s="311">
        <f>IFERROR(VLOOKUP($B37,'a（自動）計算用'!$E$5:$K$115,4,FALSE),"")</f>
        <v>935.62266911468214</v>
      </c>
      <c r="G37" s="313">
        <f>IFERROR(VLOOKUP($B37,'a（自動）計算用'!$E$5:$K$115,7,FALSE),"")</f>
        <v>0.66</v>
      </c>
    </row>
    <row r="38" spans="1:7" s="267" customFormat="1">
      <c r="B38" s="310">
        <v>105</v>
      </c>
      <c r="C38" s="311">
        <f>IFERROR(VLOOKUP($B38,'a（自動）計算用'!$E$5:$K$115,3,FALSE),"")</f>
        <v>32.610393421542035</v>
      </c>
      <c r="D38" s="311">
        <f>IFERROR(VLOOKUP($B38,'a（自動）計算用'!$E$5:$K$115,5,FALSE),"")</f>
        <v>43.82142064910196</v>
      </c>
      <c r="E38" s="312">
        <f>IFERROR(VLOOKUP($B38,'a（自動）計算用'!$E$5:$K$115,2,FALSE),"")</f>
        <v>453.00436555367423</v>
      </c>
      <c r="F38" s="311">
        <f>IFERROR(VLOOKUP($B38,'a（自動）計算用'!$E$5:$K$115,4,FALSE),"")</f>
        <v>953.76799132818962</v>
      </c>
      <c r="G38" s="313">
        <f>IFERROR(VLOOKUP($B38,'a（自動）計算用'!$E$5:$K$115,7,FALSE),"")</f>
        <v>0.67</v>
      </c>
    </row>
    <row r="39" spans="1:7" s="267" customFormat="1">
      <c r="B39" s="310">
        <v>110</v>
      </c>
      <c r="C39" s="311">
        <f>IFERROR(VLOOKUP($B39,'a（自動）計算用'!$E$5:$K$115,3,FALSE),"")</f>
        <v>32.885235490956617</v>
      </c>
      <c r="D39" s="311">
        <f>IFERROR(VLOOKUP($B39,'a（自動）計算用'!$E$5:$K$115,5,FALSE),"")</f>
        <v>44.011872080202394</v>
      </c>
      <c r="E39" s="312">
        <f>IFERROR(VLOOKUP($B39,'a（自動）計算用'!$E$5:$K$115,2,FALSE),"")</f>
        <v>453.00436555367423</v>
      </c>
      <c r="F39" s="311">
        <f>IFERROR(VLOOKUP($B39,'a（自動）計算用'!$E$5:$K$115,4,FALSE),"")</f>
        <v>969.73691179786033</v>
      </c>
      <c r="G39" s="313">
        <f>IFERROR(VLOOKUP($B39,'a（自動）計算用'!$E$5:$K$115,7,FALSE),"")</f>
        <v>0.67</v>
      </c>
    </row>
    <row r="40" spans="1:7" s="267" customFormat="1">
      <c r="B40" s="310">
        <v>115</v>
      </c>
      <c r="C40" s="311">
        <f>IFERROR(VLOOKUP($B40,'a（自動）計算用'!$E$5:$K$115,3,FALSE),"")</f>
        <v>33.1254817548188</v>
      </c>
      <c r="D40" s="311">
        <f>IFERROR(VLOOKUP($B40,'a（自動）計算用'!$E$5:$K$115,5,FALSE),"")</f>
        <v>44.177056988530403</v>
      </c>
      <c r="E40" s="312">
        <f>IFERROR(VLOOKUP($B40,'a（自動）計算用'!$E$5:$K$115,2,FALSE),"")</f>
        <v>453.00436555367423</v>
      </c>
      <c r="F40" s="311">
        <f>IFERROR(VLOOKUP($B40,'a（自動）計算用'!$E$5:$K$115,4,FALSE),"")</f>
        <v>983.77768253875183</v>
      </c>
      <c r="G40" s="313">
        <f>IFERROR(VLOOKUP($B40,'a（自動）計算用'!$E$5:$K$115,7,FALSE),"")</f>
        <v>0.68</v>
      </c>
    </row>
    <row r="41" spans="1:7" s="267" customFormat="1">
      <c r="B41" s="353">
        <v>120</v>
      </c>
      <c r="C41" s="354">
        <f>IFERROR(VLOOKUP($B41,'a（自動）計算用'!$E$5:$K$115,3,FALSE),"")</f>
        <v>33.335489779502211</v>
      </c>
      <c r="D41" s="354">
        <f>IFERROR(VLOOKUP($B41,'a（自動）計算用'!$E$5:$K$115,5,FALSE),"")</f>
        <v>44.320473741841305</v>
      </c>
      <c r="E41" s="355">
        <f>IFERROR(VLOOKUP($B41,'a（自動）計算用'!$E$5:$K$115,2,FALSE),"")</f>
        <v>453.00436555367423</v>
      </c>
      <c r="F41" s="354">
        <f>IFERROR(VLOOKUP($B41,'a（自動）計算用'!$E$5:$K$115,4,FALSE),"")</f>
        <v>996.11341931930667</v>
      </c>
      <c r="G41" s="356">
        <f>IFERROR(VLOOKUP($B41,'a（自動）計算用'!$E$5:$K$115,7,FALSE),"")</f>
        <v>0.68</v>
      </c>
    </row>
    <row r="42" spans="1:7" s="362" customFormat="1">
      <c r="A42" s="357" t="s">
        <v>224</v>
      </c>
      <c r="B42" s="358">
        <f>入力!C25</f>
        <v>120</v>
      </c>
      <c r="C42" s="359">
        <f>IFERROR(VLOOKUP($B42,'a（自動）計算用'!$E$5:$K$115,3,FALSE),"")</f>
        <v>33.335489779502211</v>
      </c>
      <c r="D42" s="359">
        <f>IFERROR(VLOOKUP($B42,'a（自動）計算用'!$E$5:$K$115,5,FALSE),"")</f>
        <v>44.320473741841305</v>
      </c>
      <c r="E42" s="360">
        <f>IFERROR(VLOOKUP($B42,'a（自動）計算用'!$E$5:$K$115,2,FALSE),"")</f>
        <v>453.00436555367423</v>
      </c>
      <c r="F42" s="359">
        <f>IFERROR(VLOOKUP($B42,'a（自動）計算用'!$E$5:$K$115,4,FALSE),"")</f>
        <v>996.11341931930667</v>
      </c>
      <c r="G42" s="361">
        <f>IFERROR(VLOOKUP($B42,'a（自動）計算用'!$E$5:$K$115,7,FALSE),"")</f>
        <v>0.68</v>
      </c>
    </row>
    <row r="43" spans="1:7" s="362" customFormat="1">
      <c r="A43" s="363"/>
      <c r="B43" s="364"/>
      <c r="C43" s="365"/>
      <c r="D43" s="365"/>
      <c r="E43" s="366"/>
      <c r="F43" s="365"/>
      <c r="G43" s="367"/>
    </row>
    <row r="44" spans="1:7" s="362" customFormat="1">
      <c r="A44" s="363"/>
      <c r="B44" s="364"/>
      <c r="C44" s="365"/>
      <c r="D44" s="365"/>
      <c r="E44" s="366"/>
      <c r="F44" s="365"/>
      <c r="G44" s="367"/>
    </row>
    <row r="45" spans="1:7" s="362" customFormat="1">
      <c r="A45" s="363"/>
      <c r="B45" s="364"/>
      <c r="C45" s="365"/>
      <c r="D45" s="365"/>
      <c r="E45" s="366"/>
      <c r="F45" s="365"/>
      <c r="G45" s="367"/>
    </row>
  </sheetData>
  <sheetProtection password="F089" sheet="1" objects="1" scenarios="1"/>
  <mergeCells count="11">
    <mergeCell ref="J32:T32"/>
    <mergeCell ref="M17:P17"/>
    <mergeCell ref="S17:T17"/>
    <mergeCell ref="Q17:R17"/>
    <mergeCell ref="A1:T1"/>
    <mergeCell ref="S2:T2"/>
    <mergeCell ref="L11:N11"/>
    <mergeCell ref="J11:J12"/>
    <mergeCell ref="K11:K12"/>
    <mergeCell ref="C5:G5"/>
    <mergeCell ref="C6:G6"/>
  </mergeCells>
  <phoneticPr fontId="1"/>
  <printOptions horizontalCentered="1" verticalCentered="1"/>
  <pageMargins left="0.70866141732283472" right="0.70866141732283472" top="0.74803149606299213" bottom="0.74803149606299213" header="0.31496062992125984" footer="0.31496062992125984"/>
  <pageSetup paperSize="9" scale="9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CC"/>
  </sheetPr>
  <dimension ref="A1:L117"/>
  <sheetViews>
    <sheetView zoomScaleNormal="100" zoomScaleSheetLayoutView="100" workbookViewId="0">
      <pane ySplit="6" topLeftCell="A7" activePane="bottomLeft" state="frozen"/>
      <selection activeCell="B3" sqref="B3"/>
      <selection pane="bottomLeft" activeCell="B3" sqref="B3"/>
    </sheetView>
  </sheetViews>
  <sheetFormatPr defaultRowHeight="12"/>
  <cols>
    <col min="1" max="12" width="10.625" style="265" customWidth="1"/>
    <col min="13" max="16384" width="9" style="227"/>
  </cols>
  <sheetData>
    <row r="1" spans="1:12" ht="13.5" customHeight="1">
      <c r="A1" s="439" t="s">
        <v>264</v>
      </c>
      <c r="B1" s="440"/>
      <c r="C1" s="441"/>
      <c r="E1" s="449" t="str">
        <f>'a（自動）計算用'!B1</f>
        <v>樹種</v>
      </c>
      <c r="F1" s="286" t="s">
        <v>1</v>
      </c>
      <c r="G1" s="286" t="s">
        <v>242</v>
      </c>
      <c r="H1" s="437" t="s">
        <v>0</v>
      </c>
      <c r="I1" s="431" t="s">
        <v>68</v>
      </c>
      <c r="J1" s="432"/>
      <c r="K1" s="433"/>
      <c r="L1" s="377" t="s">
        <v>71</v>
      </c>
    </row>
    <row r="2" spans="1:12" ht="13.5" customHeight="1">
      <c r="A2" s="442"/>
      <c r="B2" s="443"/>
      <c r="C2" s="444"/>
      <c r="E2" s="450"/>
      <c r="F2" s="302" t="s">
        <v>254</v>
      </c>
      <c r="G2" s="302" t="s">
        <v>254</v>
      </c>
      <c r="H2" s="438"/>
      <c r="I2" s="276" t="s">
        <v>239</v>
      </c>
      <c r="J2" s="277" t="s">
        <v>237</v>
      </c>
      <c r="K2" s="278" t="s">
        <v>238</v>
      </c>
      <c r="L2" s="378" t="s">
        <v>255</v>
      </c>
    </row>
    <row r="3" spans="1:12" ht="13.5" customHeight="1">
      <c r="E3" s="379" t="str">
        <f>'a（自動）計算用'!B2</f>
        <v>スギ</v>
      </c>
      <c r="F3" s="379">
        <f>入力!C17</f>
        <v>10</v>
      </c>
      <c r="G3" s="379">
        <f>入力!C25</f>
        <v>120</v>
      </c>
      <c r="H3" s="275">
        <f>入力!C24</f>
        <v>1.7</v>
      </c>
      <c r="I3" s="279" t="s">
        <v>236</v>
      </c>
      <c r="J3" s="280">
        <f>入力!C32</f>
        <v>0.75</v>
      </c>
      <c r="K3" s="281">
        <f>入力!C33</f>
        <v>0.65</v>
      </c>
      <c r="L3" s="380">
        <f>入力!C26</f>
        <v>0</v>
      </c>
    </row>
    <row r="4" spans="1:12" ht="13.5" customHeight="1"/>
    <row r="5" spans="1:12" ht="13.5" customHeight="1">
      <c r="A5" s="286" t="s">
        <v>1</v>
      </c>
      <c r="B5" s="286" t="s">
        <v>2</v>
      </c>
      <c r="C5" s="286" t="s">
        <v>3</v>
      </c>
      <c r="D5" s="286" t="s">
        <v>69</v>
      </c>
      <c r="E5" s="286" t="s">
        <v>212</v>
      </c>
      <c r="F5" s="286" t="s">
        <v>211</v>
      </c>
      <c r="G5" s="445" t="s">
        <v>32</v>
      </c>
      <c r="H5" s="286" t="s">
        <v>113</v>
      </c>
      <c r="I5" s="447" t="s">
        <v>79</v>
      </c>
      <c r="J5" s="286" t="s">
        <v>256</v>
      </c>
      <c r="K5" s="381" t="s">
        <v>72</v>
      </c>
      <c r="L5" s="445" t="s">
        <v>143</v>
      </c>
    </row>
    <row r="6" spans="1:12" ht="13.5" customHeight="1">
      <c r="A6" s="292" t="s">
        <v>254</v>
      </c>
      <c r="B6" s="292" t="s">
        <v>257</v>
      </c>
      <c r="C6" s="292" t="s">
        <v>258</v>
      </c>
      <c r="D6" s="292" t="s">
        <v>259</v>
      </c>
      <c r="E6" s="292" t="s">
        <v>260</v>
      </c>
      <c r="F6" s="292" t="s">
        <v>261</v>
      </c>
      <c r="G6" s="446"/>
      <c r="H6" s="292" t="s">
        <v>259</v>
      </c>
      <c r="I6" s="448"/>
      <c r="J6" s="292" t="s">
        <v>261</v>
      </c>
      <c r="K6" s="292" t="s">
        <v>259</v>
      </c>
      <c r="L6" s="446"/>
    </row>
    <row r="7" spans="1:12" ht="13.5" customHeight="1">
      <c r="A7" s="382">
        <v>10</v>
      </c>
      <c r="B7" s="383">
        <f>IFERROR('a（自動）計算用'!G5,"")</f>
        <v>7.005377668918638</v>
      </c>
      <c r="C7" s="383">
        <f>IFERROR('a（自動）計算用'!I5,"")</f>
        <v>11.138932082557449</v>
      </c>
      <c r="D7" s="384">
        <f>IFERROR('a（自動）計算用'!F5,"")</f>
        <v>2400</v>
      </c>
      <c r="E7" s="385">
        <f>IFERROR('a（自動）計算用'!J5,"")</f>
        <v>4.2616671319891421E-2</v>
      </c>
      <c r="F7" s="383">
        <f>IFERROR('a（自動）計算用'!H5,"")</f>
        <v>102.2800111677394</v>
      </c>
      <c r="G7" s="385">
        <f>IFERROR('a（自動）計算用'!K5,"")</f>
        <v>0.53</v>
      </c>
      <c r="H7" s="384">
        <f>IFERROR('a（自動）計算用'!L5,"")</f>
        <v>0</v>
      </c>
      <c r="I7" s="386">
        <f>IFERROR('a（自動）計算用'!M5,"")</f>
        <v>0</v>
      </c>
      <c r="J7" s="383">
        <f>IFERROR('a（自動）計算用'!O5,"")</f>
        <v>0</v>
      </c>
      <c r="K7" s="384">
        <f>IFERROR('a（自動）計算用'!S5,"")</f>
        <v>2400</v>
      </c>
      <c r="L7" s="385">
        <f>IFERROR('a（自動）計算用'!V5,"")</f>
        <v>0.53912917556448103</v>
      </c>
    </row>
    <row r="8" spans="1:12" ht="13.5" customHeight="1">
      <c r="A8" s="382">
        <v>11</v>
      </c>
      <c r="B8" s="383">
        <f>IFERROR('a（自動）計算用'!G6,"")</f>
        <v>7.6866187767008665</v>
      </c>
      <c r="C8" s="383">
        <f>IFERROR('a（自動）計算用'!I6,"")</f>
        <v>11.817060145244328</v>
      </c>
      <c r="D8" s="384">
        <f>IFERROR('a（自動）計算用'!F6,"")</f>
        <v>2400</v>
      </c>
      <c r="E8" s="385">
        <f>IFERROR('a（自動）計算用'!J6,"")</f>
        <v>5.1759715214016684E-2</v>
      </c>
      <c r="F8" s="383">
        <f>IFERROR('a（自動）計算用'!H6,"")</f>
        <v>124.22331651364004</v>
      </c>
      <c r="G8" s="385">
        <f>IFERROR('a（自動）計算用'!K6,"")</f>
        <v>0.56999999999999995</v>
      </c>
      <c r="H8" s="384">
        <f>IFERROR('a（自動）計算用'!L6,"")</f>
        <v>0</v>
      </c>
      <c r="I8" s="386">
        <f>IFERROR('a（自動）計算用'!M6,"")</f>
        <v>0</v>
      </c>
      <c r="J8" s="383">
        <f>IFERROR('a（自動）計算用'!O6,"")</f>
        <v>0</v>
      </c>
      <c r="K8" s="384">
        <f>IFERROR('a（自動）計算用'!S6,"")</f>
        <v>2400</v>
      </c>
      <c r="L8" s="385">
        <f>IFERROR('a（自動）計算用'!V6,"")</f>
        <v>0.57999766699305544</v>
      </c>
    </row>
    <row r="9" spans="1:12" ht="13.5" customHeight="1">
      <c r="A9" s="382">
        <v>12</v>
      </c>
      <c r="B9" s="383">
        <f>IFERROR('a（自動）計算用'!G7,"")</f>
        <v>8.3560214438217386</v>
      </c>
      <c r="C9" s="383">
        <f>IFERROR('a（自動）計算用'!I7,"")</f>
        <v>12.468685617754097</v>
      </c>
      <c r="D9" s="384">
        <f>IFERROR('a（自動）計算用'!F7,"")</f>
        <v>2378.6995149385252</v>
      </c>
      <c r="E9" s="385">
        <f>IFERROR('a（自動）計算用'!J7,"")</f>
        <v>6.170121950473885E-2</v>
      </c>
      <c r="F9" s="383">
        <f>IFERROR('a（自動）計算用'!H7,"")</f>
        <v>146.76866090703777</v>
      </c>
      <c r="G9" s="385">
        <f>IFERROR('a（自動）計算用'!K7,"")</f>
        <v>0.61</v>
      </c>
      <c r="H9" s="384">
        <f>IFERROR('a（自動）計算用'!L7,"")</f>
        <v>0</v>
      </c>
      <c r="I9" s="386">
        <f>IFERROR('a（自動）計算用'!M7,"")</f>
        <v>0</v>
      </c>
      <c r="J9" s="383">
        <f>IFERROR('a（自動）計算用'!O7,"")</f>
        <v>0</v>
      </c>
      <c r="K9" s="384">
        <f>IFERROR('a（自動）計算用'!S7,"")</f>
        <v>2378.6995149385252</v>
      </c>
      <c r="L9" s="385">
        <f>IFERROR('a（自動）計算用'!V7,"")</f>
        <v>0.61440882489371806</v>
      </c>
    </row>
    <row r="10" spans="1:12" ht="13.5" customHeight="1">
      <c r="A10" s="382">
        <v>13</v>
      </c>
      <c r="B10" s="383">
        <f>IFERROR('a（自動）計算用'!G8,"")</f>
        <v>9.0132564321920068</v>
      </c>
      <c r="C10" s="383">
        <f>IFERROR('a（自動）計算用'!I8,"")</f>
        <v>13.068959350969083</v>
      </c>
      <c r="D10" s="384">
        <f>IFERROR('a（自動）計算用'!F8,"")</f>
        <v>2359.9216915640836</v>
      </c>
      <c r="E10" s="385">
        <f>IFERROR('a（自動）計算用'!J8,"")</f>
        <v>7.2185200991006268E-2</v>
      </c>
      <c r="F10" s="383">
        <f>IFERROR('a（自動）計算用'!H8,"")</f>
        <v>170.35142162858887</v>
      </c>
      <c r="G10" s="385">
        <f>IFERROR('a（自動）計算用'!K8,"")</f>
        <v>0.64</v>
      </c>
      <c r="H10" s="384">
        <f>IFERROR('a（自動）計算用'!L8,"")</f>
        <v>0</v>
      </c>
      <c r="I10" s="386">
        <f>IFERROR('a（自動）計算用'!M8,"")</f>
        <v>0</v>
      </c>
      <c r="J10" s="383">
        <f>IFERROR('a（自動）計算用'!O8,"")</f>
        <v>0</v>
      </c>
      <c r="K10" s="384">
        <f>IFERROR('a（自動）計算用'!S8,"")</f>
        <v>2359.9216915640836</v>
      </c>
      <c r="L10" s="385">
        <f>IFERROR('a（自動）計算用'!V8,"")</f>
        <v>0.64593872659071028</v>
      </c>
    </row>
    <row r="11" spans="1:12" ht="13.5" customHeight="1">
      <c r="A11" s="382">
        <v>14</v>
      </c>
      <c r="B11" s="383">
        <f>IFERROR('a（自動）計算用'!G9,"")</f>
        <v>9.6580943635452208</v>
      </c>
      <c r="C11" s="383">
        <f>IFERROR('a（自動）計算用'!I9,"")</f>
        <v>13.628019851557575</v>
      </c>
      <c r="D11" s="384">
        <f>IFERROR('a（自動）計算用'!F9,"")</f>
        <v>2340.7662406907311</v>
      </c>
      <c r="E11" s="385">
        <f>IFERROR('a（自動）計算用'!J9,"")</f>
        <v>8.3178583574442452E-2</v>
      </c>
      <c r="F11" s="383">
        <f>IFERROR('a（自動）計算用'!H9,"")</f>
        <v>194.70162037952747</v>
      </c>
      <c r="G11" s="385">
        <f>IFERROR('a（自動）計算用'!K9,"")</f>
        <v>0.67</v>
      </c>
      <c r="H11" s="384">
        <f>IFERROR('a（自動）計算用'!L9,"")</f>
        <v>0</v>
      </c>
      <c r="I11" s="386">
        <f>IFERROR('a（自動）計算用'!M9,"")</f>
        <v>0</v>
      </c>
      <c r="J11" s="383">
        <f>IFERROR('a（自動）計算用'!O9,"")</f>
        <v>0</v>
      </c>
      <c r="K11" s="384">
        <f>IFERROR('a（自動）計算用'!S9,"")</f>
        <v>2340.7662406907311</v>
      </c>
      <c r="L11" s="385">
        <f>IFERROR('a（自動）計算用'!V9,"")</f>
        <v>0.67451407995314949</v>
      </c>
    </row>
    <row r="12" spans="1:12" ht="13.5" customHeight="1">
      <c r="A12" s="382">
        <v>15</v>
      </c>
      <c r="B12" s="383">
        <f>IFERROR('a（自動）計算用'!G10,"")</f>
        <v>10.290382189294702</v>
      </c>
      <c r="C12" s="383">
        <f>IFERROR('a（自動）計算用'!I10,"")</f>
        <v>14.15072273584609</v>
      </c>
      <c r="D12" s="384">
        <f>IFERROR('a（自動）計算用'!F10,"")</f>
        <v>2321.3807070057342</v>
      </c>
      <c r="E12" s="385">
        <f>IFERROR('a（自動）計算用'!J10,"")</f>
        <v>9.4625566578361145E-2</v>
      </c>
      <c r="F12" s="383">
        <f>IFERROR('a（自動）計算用'!H10,"")</f>
        <v>219.66196464449416</v>
      </c>
      <c r="G12" s="385">
        <f>IFERROR('a（自動）計算用'!K10,"")</f>
        <v>0.7</v>
      </c>
      <c r="H12" s="384">
        <f>IFERROR('a（自動）計算用'!L10,"")</f>
        <v>0</v>
      </c>
      <c r="I12" s="386">
        <f>IFERROR('a（自動）計算用'!M10,"")</f>
        <v>0</v>
      </c>
      <c r="J12" s="383">
        <f>IFERROR('a（自動）計算用'!O10,"")</f>
        <v>0</v>
      </c>
      <c r="K12" s="384">
        <f>IFERROR('a（自動）計算用'!S10,"")</f>
        <v>2321.3807070057342</v>
      </c>
      <c r="L12" s="385">
        <f>IFERROR('a（自動）計算用'!V10,"")</f>
        <v>0.70045488300666847</v>
      </c>
    </row>
    <row r="13" spans="1:12" ht="13.5" customHeight="1">
      <c r="A13" s="382">
        <v>16</v>
      </c>
      <c r="B13" s="383">
        <f>IFERROR('a（自動）計算用'!G11,"")</f>
        <v>10.910026199109787</v>
      </c>
      <c r="C13" s="383">
        <f>IFERROR('a（自動）計算用'!I11,"")</f>
        <v>14.641189504521389</v>
      </c>
      <c r="D13" s="384">
        <f>IFERROR('a（自動）計算用'!F11,"")</f>
        <v>2301.8907004546645</v>
      </c>
      <c r="E13" s="385">
        <f>IFERROR('a（自動）計算用'!J11,"")</f>
        <v>0.10647548327071617</v>
      </c>
      <c r="F13" s="383">
        <f>IFERROR('a（自動）計算用'!H11,"")</f>
        <v>245.09492476727775</v>
      </c>
      <c r="G13" s="385">
        <f>IFERROR('a（自動）計算用'!K11,"")</f>
        <v>0.72</v>
      </c>
      <c r="H13" s="384">
        <f>IFERROR('a（自動）計算用'!L11,"")</f>
        <v>0</v>
      </c>
      <c r="I13" s="386">
        <f>IFERROR('a（自動）計算用'!M11,"")</f>
        <v>0</v>
      </c>
      <c r="J13" s="383">
        <f>IFERROR('a（自動）計算用'!O11,"")</f>
        <v>0</v>
      </c>
      <c r="K13" s="384">
        <f>IFERROR('a（自動）計算用'!S11,"")</f>
        <v>2301.8907004546645</v>
      </c>
      <c r="L13" s="385">
        <f>IFERROR('a（自動）計算用'!V11,"")</f>
        <v>0.72404923070116278</v>
      </c>
    </row>
    <row r="14" spans="1:12" ht="13.5" customHeight="1">
      <c r="A14" s="382">
        <v>17</v>
      </c>
      <c r="B14" s="383">
        <f>IFERROR('a（自動）計算用'!G12,"")</f>
        <v>11.516979531457144</v>
      </c>
      <c r="C14" s="383">
        <f>IFERROR('a（自動）計算用'!I12,"")</f>
        <v>15.102923750828976</v>
      </c>
      <c r="D14" s="384">
        <f>IFERROR('a（自動）計算用'!F12,"")</f>
        <v>2282.402289098367</v>
      </c>
      <c r="E14" s="385">
        <f>IFERROR('a（自動）計算用'!J12,"")</f>
        <v>0.11868213176305169</v>
      </c>
      <c r="F14" s="383">
        <f>IFERROR('a（自動）計算用'!H12,"")</f>
        <v>270.88036921106317</v>
      </c>
      <c r="G14" s="385">
        <f>IFERROR('a（自動）計算用'!K12,"")</f>
        <v>0.74</v>
      </c>
      <c r="H14" s="384">
        <f>IFERROR('a（自動）計算用'!L12,"")</f>
        <v>0</v>
      </c>
      <c r="I14" s="386">
        <f>IFERROR('a（自動）計算用'!M12,"")</f>
        <v>0</v>
      </c>
      <c r="J14" s="383">
        <f>IFERROR('a（自動）計算用'!O12,"")</f>
        <v>0</v>
      </c>
      <c r="K14" s="384">
        <f>IFERROR('a（自動）計算用'!S12,"")</f>
        <v>2282.402289098367</v>
      </c>
      <c r="L14" s="385">
        <f>IFERROR('a（自動）計算用'!V12,"")</f>
        <v>0.74555378117272408</v>
      </c>
    </row>
    <row r="15" spans="1:12" ht="13.5" customHeight="1">
      <c r="A15" s="382">
        <v>18</v>
      </c>
      <c r="B15" s="383">
        <f>IFERROR('a（自動）計算用'!G13,"")</f>
        <v>12.111232869455735</v>
      </c>
      <c r="C15" s="383">
        <f>IFERROR('a（自動）計算用'!I13,"")</f>
        <v>15.538911291599399</v>
      </c>
      <c r="D15" s="384">
        <f>IFERROR('a（自動）計算用'!F13,"")</f>
        <v>2263.0043655536742</v>
      </c>
      <c r="E15" s="385">
        <f>IFERROR('a（自動）計算用'!J13,"")</f>
        <v>0.13120317572038015</v>
      </c>
      <c r="F15" s="383">
        <f>IFERROR('a（自動）計算用'!H13,"")</f>
        <v>296.91335942972614</v>
      </c>
      <c r="G15" s="385">
        <f>IFERROR('a（自動）計算用'!K13,"")</f>
        <v>0.76</v>
      </c>
      <c r="H15" s="384">
        <f>IFERROR('a（自動）計算用'!L13,"")</f>
        <v>660</v>
      </c>
      <c r="I15" s="386">
        <f>IFERROR('a（自動）計算用'!M13,"")</f>
        <v>0.29164769191177509</v>
      </c>
      <c r="J15" s="383">
        <f>IFERROR('a（自動）計算用'!O13,"")</f>
        <v>44.805636812978037</v>
      </c>
      <c r="K15" s="384">
        <f>IFERROR('a（自動）計算用'!S13,"")</f>
        <v>1603.0043655536742</v>
      </c>
      <c r="L15" s="385">
        <f>IFERROR('a（自動）計算用'!V13,"")</f>
        <v>0.64972403633225939</v>
      </c>
    </row>
    <row r="16" spans="1:12" ht="13.5" customHeight="1">
      <c r="A16" s="382">
        <v>19</v>
      </c>
      <c r="B16" s="383">
        <f>IFERROR('a（自動）計算用'!G14,"")</f>
        <v>12.692807439777415</v>
      </c>
      <c r="C16" s="383">
        <f>IFERROR('a（自動）計算用'!I14,"")</f>
        <v>17.941601417194548</v>
      </c>
      <c r="D16" s="384">
        <f>IFERROR('a（自動）計算用'!F14,"")</f>
        <v>1603.0043655536742</v>
      </c>
      <c r="E16" s="385">
        <f>IFERROR('a（自動）計算用'!J14,"")</f>
        <v>0.17268607395064361</v>
      </c>
      <c r="F16" s="383">
        <f>IFERROR('a（自動）計算用'!H14,"")</f>
        <v>276.81653041320635</v>
      </c>
      <c r="G16" s="385">
        <f>IFERROR('a（自動）計算用'!K14,"")</f>
        <v>0.67</v>
      </c>
      <c r="H16" s="384">
        <f>IFERROR('a（自動）計算用'!L14,"")</f>
        <v>0</v>
      </c>
      <c r="I16" s="386">
        <f>IFERROR('a（自動）計算用'!M14,"")</f>
        <v>0</v>
      </c>
      <c r="J16" s="383">
        <f>IFERROR('a（自動）計算用'!O14,"")</f>
        <v>0</v>
      </c>
      <c r="K16" s="384">
        <f>IFERROR('a（自動）計算用'!S14,"")</f>
        <v>1603.0043655536742</v>
      </c>
      <c r="L16" s="385">
        <f>IFERROR('a（自動）計算用'!V14,"")</f>
        <v>0.67098239774208335</v>
      </c>
    </row>
    <row r="17" spans="1:12" ht="13.5" customHeight="1">
      <c r="A17" s="382">
        <v>20</v>
      </c>
      <c r="B17" s="383">
        <f>IFERROR('a（自動）計算用'!G15,"")</f>
        <v>13.261749704127018</v>
      </c>
      <c r="C17" s="383">
        <f>IFERROR('a（自動）計算用'!I15,"")</f>
        <v>18.373665098837925</v>
      </c>
      <c r="D17" s="384">
        <f>IFERROR('a（自動）計算用'!F15,"")</f>
        <v>1603.0043655536742</v>
      </c>
      <c r="E17" s="385">
        <f>IFERROR('a（自動）計算用'!J15,"")</f>
        <v>0.18829007708615858</v>
      </c>
      <c r="F17" s="383">
        <f>IFERROR('a（自動）計算用'!H15,"")</f>
        <v>301.82981555955007</v>
      </c>
      <c r="G17" s="385">
        <f>IFERROR('a（自動）計算用'!K15,"")</f>
        <v>0.69</v>
      </c>
      <c r="H17" s="384">
        <f>IFERROR('a（自動）計算用'!L15,"")</f>
        <v>0</v>
      </c>
      <c r="I17" s="386">
        <f>IFERROR('a（自動）計算用'!M15,"")</f>
        <v>0</v>
      </c>
      <c r="J17" s="383">
        <f>IFERROR('a（自動）計算用'!O15,"")</f>
        <v>0</v>
      </c>
      <c r="K17" s="384">
        <f>IFERROR('a（自動）計算用'!S15,"")</f>
        <v>1603.0043655536742</v>
      </c>
      <c r="L17" s="385">
        <f>IFERROR('a（自動）計算用'!V15,"")</f>
        <v>0.69086147246528273</v>
      </c>
    </row>
    <row r="18" spans="1:12" ht="13.5" customHeight="1">
      <c r="A18" s="382">
        <v>21</v>
      </c>
      <c r="B18" s="383">
        <f>IFERROR('a（自動）計算用'!G16,"")</f>
        <v>13.818127308626075</v>
      </c>
      <c r="C18" s="383">
        <f>IFERROR('a（自動）計算用'!I16,"")</f>
        <v>18.778483779039526</v>
      </c>
      <c r="D18" s="384">
        <f>IFERROR('a（自動）計算用'!F16,"")</f>
        <v>1603.0043655536742</v>
      </c>
      <c r="E18" s="385">
        <f>IFERROR('a（自動）計算用'!J16,"")</f>
        <v>0.20403125426936453</v>
      </c>
      <c r="F18" s="383">
        <f>IFERROR('a（自動）計算用'!H16,"")</f>
        <v>327.06299130318308</v>
      </c>
      <c r="G18" s="385">
        <f>IFERROR('a（自動）計算用'!K16,"")</f>
        <v>0.7</v>
      </c>
      <c r="H18" s="384">
        <f>IFERROR('a（自動）計算用'!L16,"")</f>
        <v>0</v>
      </c>
      <c r="I18" s="386">
        <f>IFERROR('a（自動）計算用'!M16,"")</f>
        <v>0</v>
      </c>
      <c r="J18" s="383">
        <f>IFERROR('a（自動）計算用'!O16,"")</f>
        <v>0</v>
      </c>
      <c r="K18" s="384">
        <f>IFERROR('a（自動）計算用'!S16,"")</f>
        <v>1603.0043655536742</v>
      </c>
      <c r="L18" s="385">
        <f>IFERROR('a（自動）計算用'!V16,"")</f>
        <v>0.70946600985806274</v>
      </c>
    </row>
    <row r="19" spans="1:12" ht="13.5" customHeight="1">
      <c r="A19" s="382">
        <v>22</v>
      </c>
      <c r="B19" s="383">
        <f>IFERROR('a（自動）計算用'!G17,"")</f>
        <v>14.362025973710765</v>
      </c>
      <c r="C19" s="383">
        <f>IFERROR('a（自動）計算用'!I17,"")</f>
        <v>19.158318142658388</v>
      </c>
      <c r="D19" s="384">
        <f>IFERROR('a（自動）計算用'!F17,"")</f>
        <v>1603.0043655536742</v>
      </c>
      <c r="E19" s="385">
        <f>IFERROR('a（自動）計算用'!J17,"")</f>
        <v>0.21986199098639192</v>
      </c>
      <c r="F19" s="383">
        <f>IFERROR('a（自動）計算用'!H17,"")</f>
        <v>352.43973137050881</v>
      </c>
      <c r="G19" s="385">
        <f>IFERROR('a（自動）計算用'!K17,"")</f>
        <v>0.72</v>
      </c>
      <c r="H19" s="384">
        <f>IFERROR('a（自動）計算用'!L17,"")</f>
        <v>0</v>
      </c>
      <c r="I19" s="386">
        <f>IFERROR('a（自動）計算用'!M17,"")</f>
        <v>0</v>
      </c>
      <c r="J19" s="383">
        <f>IFERROR('a（自動）計算用'!O17,"")</f>
        <v>0</v>
      </c>
      <c r="K19" s="384">
        <f>IFERROR('a（自動）計算用'!S17,"")</f>
        <v>1603.0043655536742</v>
      </c>
      <c r="L19" s="385">
        <f>IFERROR('a（自動）計算用'!V17,"")</f>
        <v>0.72689289741645191</v>
      </c>
    </row>
    <row r="20" spans="1:12" ht="13.5" customHeight="1">
      <c r="A20" s="382">
        <v>23</v>
      </c>
      <c r="B20" s="383">
        <f>IFERROR('a（自動）計算用'!G18,"")</f>
        <v>14.893547087821741</v>
      </c>
      <c r="C20" s="383">
        <f>IFERROR('a（自動）計算用'!I18,"")</f>
        <v>19.515196765110471</v>
      </c>
      <c r="D20" s="384">
        <f>IFERROR('a（自動）計算用'!F18,"")</f>
        <v>1603.0043655536742</v>
      </c>
      <c r="E20" s="385">
        <f>IFERROR('a（自動）計算用'!J18,"")</f>
        <v>0.23573940263346602</v>
      </c>
      <c r="F20" s="383">
        <f>IFERROR('a（自動）計算用'!H18,"")</f>
        <v>377.89129155446136</v>
      </c>
      <c r="G20" s="385">
        <f>IFERROR('a（自動）計算用'!K18,"")</f>
        <v>0.74</v>
      </c>
      <c r="H20" s="384">
        <f>IFERROR('a（自動）計算用'!L18,"")</f>
        <v>0</v>
      </c>
      <c r="I20" s="386">
        <f>IFERROR('a（自動）計算用'!M18,"")</f>
        <v>0</v>
      </c>
      <c r="J20" s="383">
        <f>IFERROR('a（自動）計算用'!O18,"")</f>
        <v>0</v>
      </c>
      <c r="K20" s="384">
        <f>IFERROR('a（自動）計算用'!S18,"")</f>
        <v>1603.0043655536742</v>
      </c>
      <c r="L20" s="385">
        <f>IFERROR('a（自動）計算用'!V18,"")</f>
        <v>0.74323142698437206</v>
      </c>
    </row>
    <row r="21" spans="1:12" ht="13.5" customHeight="1">
      <c r="A21" s="382">
        <v>24</v>
      </c>
      <c r="B21" s="383">
        <f>IFERROR('a（自動）計算用'!G19,"")</f>
        <v>15.412805825357026</v>
      </c>
      <c r="C21" s="383">
        <f>IFERROR('a（自動）計算用'!I19,"")</f>
        <v>19.850943424101803</v>
      </c>
      <c r="D21" s="384">
        <f>IFERROR('a（自動）計算用'!F19,"")</f>
        <v>1603.0043655536742</v>
      </c>
      <c r="E21" s="385">
        <f>IFERROR('a（自動）計算用'!J19,"")</f>
        <v>0.25162493693448484</v>
      </c>
      <c r="F21" s="383">
        <f>IFERROR('a（自動）計算用'!H19,"")</f>
        <v>403.35587238814719</v>
      </c>
      <c r="G21" s="385">
        <f>IFERROR('a（自動）計算用'!K19,"")</f>
        <v>0.75</v>
      </c>
      <c r="H21" s="384">
        <f>IFERROR('a（自動）計算用'!L19,"")</f>
        <v>450</v>
      </c>
      <c r="I21" s="386">
        <f>IFERROR('a（自動）計算用'!M19,"")</f>
        <v>0.28072287865826928</v>
      </c>
      <c r="J21" s="383">
        <f>IFERROR('a（自動）計算用'!O19,"")</f>
        <v>58.722450370860599</v>
      </c>
      <c r="K21" s="384">
        <f>IFERROR('a（自動）計算用'!S19,"")</f>
        <v>1153.0043655536742</v>
      </c>
      <c r="L21" s="385">
        <f>IFERROR('a（自動）計算用'!V19,"")</f>
        <v>0.64812840840829267</v>
      </c>
    </row>
    <row r="22" spans="1:12" ht="13.5" customHeight="1">
      <c r="A22" s="382">
        <v>25</v>
      </c>
      <c r="B22" s="383">
        <f>IFERROR('a（自動）計算用'!G20,"")</f>
        <v>15.919929651162615</v>
      </c>
      <c r="C22" s="383">
        <f>IFERROR('a（自動）計算用'!I20,"")</f>
        <v>22.542107957952606</v>
      </c>
      <c r="D22" s="384">
        <f>IFERROR('a（自動）計算用'!F20,"")</f>
        <v>1153.0043655536742</v>
      </c>
      <c r="E22" s="385">
        <f>IFERROR('a（自動）計算用'!J20,"")</f>
        <v>0.31887644531560277</v>
      </c>
      <c r="F22" s="383">
        <f>IFERROR('a（自動）計算用'!H20,"")</f>
        <v>367.6659335211275</v>
      </c>
      <c r="G22" s="385">
        <f>IFERROR('a（自動）計算用'!K20,"")</f>
        <v>0.66</v>
      </c>
      <c r="H22" s="384">
        <f>IFERROR('a（自動）計算用'!L20,"")</f>
        <v>0</v>
      </c>
      <c r="I22" s="386">
        <f>IFERROR('a（自動）計算用'!M20,"")</f>
        <v>0</v>
      </c>
      <c r="J22" s="383">
        <f>IFERROR('a（自動）計算用'!O20,"")</f>
        <v>0</v>
      </c>
      <c r="K22" s="384">
        <f>IFERROR('a（自動）計算用'!S20,"")</f>
        <v>1153.0043655536742</v>
      </c>
      <c r="L22" s="385">
        <f>IFERROR('a（自動）計算用'!V20,"")</f>
        <v>0.66279727394700227</v>
      </c>
    </row>
    <row r="23" spans="1:12" ht="13.5" customHeight="1">
      <c r="A23" s="382">
        <v>26</v>
      </c>
      <c r="B23" s="383">
        <f>IFERROR('a（自動）計算用'!G21,"")</f>
        <v>16.415057105306442</v>
      </c>
      <c r="C23" s="383">
        <f>IFERROR('a（自動）計算用'!I21,"")</f>
        <v>22.918586201051557</v>
      </c>
      <c r="D23" s="384">
        <f>IFERROR('a（自動）計算用'!F21,"")</f>
        <v>1153.0043655536742</v>
      </c>
      <c r="E23" s="385">
        <f>IFERROR('a（自動）計算用'!J21,"")</f>
        <v>0.33885449986498761</v>
      </c>
      <c r="F23" s="383">
        <f>IFERROR('a（自動）計算用'!H21,"")</f>
        <v>390.70071763183762</v>
      </c>
      <c r="G23" s="385">
        <f>IFERROR('a（自動）計算用'!K21,"")</f>
        <v>0.67</v>
      </c>
      <c r="H23" s="384">
        <f>IFERROR('a（自動）計算用'!L21,"")</f>
        <v>0</v>
      </c>
      <c r="I23" s="386">
        <f>IFERROR('a（自動）計算用'!M21,"")</f>
        <v>0</v>
      </c>
      <c r="J23" s="383">
        <f>IFERROR('a（自動）計算用'!O21,"")</f>
        <v>0</v>
      </c>
      <c r="K23" s="384">
        <f>IFERROR('a（自動）計算用'!S21,"")</f>
        <v>1153.0043655536742</v>
      </c>
      <c r="L23" s="385">
        <f>IFERROR('a（自動）計算用'!V21,"")</f>
        <v>0.67668440657090057</v>
      </c>
    </row>
    <row r="24" spans="1:12" ht="13.5" customHeight="1">
      <c r="A24" s="382">
        <v>27</v>
      </c>
      <c r="B24" s="383">
        <f>IFERROR('a（自動）計算用'!G22,"")</f>
        <v>16.898336786226629</v>
      </c>
      <c r="C24" s="383">
        <f>IFERROR('a（自動）計算用'!I22,"")</f>
        <v>23.27532449258662</v>
      </c>
      <c r="D24" s="384">
        <f>IFERROR('a（自動）計算用'!F22,"")</f>
        <v>1153.0043655536742</v>
      </c>
      <c r="E24" s="385">
        <f>IFERROR('a（自動）計算用'!J22,"")</f>
        <v>0.35879413258515619</v>
      </c>
      <c r="F24" s="383">
        <f>IFERROR('a（自動）計算用'!H22,"")</f>
        <v>413.69120120572887</v>
      </c>
      <c r="G24" s="385">
        <f>IFERROR('a（自動）計算用'!K22,"")</f>
        <v>0.68</v>
      </c>
      <c r="H24" s="384">
        <f>IFERROR('a（自動）計算用'!L22,"")</f>
        <v>0</v>
      </c>
      <c r="I24" s="386">
        <f>IFERROR('a（自動）計算用'!M22,"")</f>
        <v>0</v>
      </c>
      <c r="J24" s="383">
        <f>IFERROR('a（自動）計算用'!O22,"")</f>
        <v>0</v>
      </c>
      <c r="K24" s="384">
        <f>IFERROR('a（自動）計算用'!S22,"")</f>
        <v>1153.0043655536742</v>
      </c>
      <c r="L24" s="385">
        <f>IFERROR('a（自動）計算用'!V22,"")</f>
        <v>0.68983846963764806</v>
      </c>
    </row>
    <row r="25" spans="1:12" ht="13.5" customHeight="1">
      <c r="A25" s="382">
        <v>28</v>
      </c>
      <c r="B25" s="383">
        <f>IFERROR('a（自動）計算用'!G23,"")</f>
        <v>17.369926469612402</v>
      </c>
      <c r="C25" s="383">
        <f>IFERROR('a（自動）計算用'!I23,"")</f>
        <v>23.613646495244048</v>
      </c>
      <c r="D25" s="384">
        <f>IFERROR('a（自動）計算用'!F23,"")</f>
        <v>1153.0043655536742</v>
      </c>
      <c r="E25" s="385">
        <f>IFERROR('a（自動）計算用'!J23,"")</f>
        <v>0.3786588808186544</v>
      </c>
      <c r="F25" s="383">
        <f>IFERROR('a（自動）計算用'!H23,"")</f>
        <v>436.59534263957698</v>
      </c>
      <c r="G25" s="385">
        <f>IFERROR('a（自動）計算用'!K23,"")</f>
        <v>0.7</v>
      </c>
      <c r="H25" s="384">
        <f>IFERROR('a（自動）計算用'!L23,"")</f>
        <v>0</v>
      </c>
      <c r="I25" s="386">
        <f>IFERROR('a（自動）計算用'!M23,"")</f>
        <v>0</v>
      </c>
      <c r="J25" s="383">
        <f>IFERROR('a（自動）計算用'!O23,"")</f>
        <v>0</v>
      </c>
      <c r="K25" s="384">
        <f>IFERROR('a（自動）計算用'!S23,"")</f>
        <v>1153.0043655536742</v>
      </c>
      <c r="L25" s="385">
        <f>IFERROR('a（自動）計算用'!V23,"")</f>
        <v>0.70230500203125479</v>
      </c>
    </row>
    <row r="26" spans="1:12" ht="13.5" customHeight="1">
      <c r="A26" s="382">
        <v>29</v>
      </c>
      <c r="B26" s="383">
        <f>IFERROR('a（自動）計算用'!G24,"")</f>
        <v>17.829992315883583</v>
      </c>
      <c r="C26" s="383">
        <f>IFERROR('a（自動）計算用'!I24,"")</f>
        <v>23.934766339490974</v>
      </c>
      <c r="D26" s="384">
        <f>IFERROR('a（自動）計算用'!F24,"")</f>
        <v>1153.0043655536742</v>
      </c>
      <c r="E26" s="385">
        <f>IFERROR('a（自動）計算用'!J24,"")</f>
        <v>0.39841594009346309</v>
      </c>
      <c r="F26" s="383">
        <f>IFERROR('a（自動）計算用'!H24,"")</f>
        <v>459.37531823393408</v>
      </c>
      <c r="G26" s="385">
        <f>IFERROR('a（自動）計算用'!K24,"")</f>
        <v>0.71</v>
      </c>
      <c r="H26" s="384">
        <f>IFERROR('a（自動）計算用'!L24,"")</f>
        <v>0</v>
      </c>
      <c r="I26" s="386">
        <f>IFERROR('a（自動）計算用'!M24,"")</f>
        <v>0</v>
      </c>
      <c r="J26" s="383">
        <f>IFERROR('a（自動）計算用'!O24,"")</f>
        <v>0</v>
      </c>
      <c r="K26" s="384">
        <f>IFERROR('a（自動）計算用'!S24,"")</f>
        <v>1153.0043655536742</v>
      </c>
      <c r="L26" s="385">
        <f>IFERROR('a（自動）計算用'!V24,"")</f>
        <v>0.71412656214812165</v>
      </c>
    </row>
    <row r="27" spans="1:12" ht="13.5" customHeight="1">
      <c r="A27" s="382">
        <v>30</v>
      </c>
      <c r="B27" s="383">
        <f>IFERROR('a（自動）計算用'!G25,"")</f>
        <v>18.278708131736447</v>
      </c>
      <c r="C27" s="383">
        <f>IFERROR('a（自動）計算用'!I25,"")</f>
        <v>24.239799428023662</v>
      </c>
      <c r="D27" s="384">
        <f>IFERROR('a（自動）計算用'!F25,"")</f>
        <v>1153.0043655536742</v>
      </c>
      <c r="E27" s="385">
        <f>IFERROR('a（自動）計算用'!J25,"")</f>
        <v>0.41803590594230067</v>
      </c>
      <c r="F27" s="383">
        <f>IFERROR('a（自動）計算用'!H25,"")</f>
        <v>481.99722450965783</v>
      </c>
      <c r="G27" s="385">
        <f>IFERROR('a（自動）計算用'!K25,"")</f>
        <v>0.72</v>
      </c>
      <c r="H27" s="384">
        <f>IFERROR('a（自動）計算用'!L25,"")</f>
        <v>0</v>
      </c>
      <c r="I27" s="386">
        <f>IFERROR('a（自動）計算用'!M25,"")</f>
        <v>0</v>
      </c>
      <c r="J27" s="383">
        <f>IFERROR('a（自動）計算用'!O25,"")</f>
        <v>0</v>
      </c>
      <c r="K27" s="384">
        <f>IFERROR('a（自動）計算用'!S25,"")</f>
        <v>1153.0043655536742</v>
      </c>
      <c r="L27" s="385">
        <f>IFERROR('a（自動）計算用'!V25,"")</f>
        <v>0.72534288605949482</v>
      </c>
    </row>
    <row r="28" spans="1:12" ht="13.5" customHeight="1">
      <c r="A28" s="382">
        <v>31</v>
      </c>
      <c r="B28" s="383">
        <f>IFERROR('a（自動）計算用'!G26,"")</f>
        <v>18.716254661483859</v>
      </c>
      <c r="C28" s="383">
        <f>IFERROR('a（自動）計算用'!I26,"")</f>
        <v>24.529772045089821</v>
      </c>
      <c r="D28" s="384">
        <f>IFERROR('a（自動）計算用'!F26,"")</f>
        <v>1153.0043655536742</v>
      </c>
      <c r="E28" s="385">
        <f>IFERROR('a（自動）計算用'!J26,"")</f>
        <v>0.43749252946780559</v>
      </c>
      <c r="F28" s="383">
        <f>IFERROR('a（自動）計算用'!H26,"")</f>
        <v>504.43079637349933</v>
      </c>
      <c r="G28" s="385">
        <f>IFERROR('a（自動）計算用'!K26,"")</f>
        <v>0.73</v>
      </c>
      <c r="H28" s="384">
        <f>IFERROR('a（自動）計算用'!L26,"")</f>
        <v>0</v>
      </c>
      <c r="I28" s="386">
        <f>IFERROR('a（自動）計算用'!M26,"")</f>
        <v>0</v>
      </c>
      <c r="J28" s="383">
        <f>IFERROR('a（自動）計算用'!O26,"")</f>
        <v>0</v>
      </c>
      <c r="K28" s="384">
        <f>IFERROR('a（自動）計算用'!S26,"")</f>
        <v>1153.0043655536742</v>
      </c>
      <c r="L28" s="385">
        <f>IFERROR('a（自動）計算用'!V26,"")</f>
        <v>0.73599105178174107</v>
      </c>
    </row>
    <row r="29" spans="1:12" ht="13.5" customHeight="1">
      <c r="A29" s="382">
        <v>32</v>
      </c>
      <c r="B29" s="383">
        <f>IFERROR('a（自動）計算用'!G27,"")</f>
        <v>19.142818892220774</v>
      </c>
      <c r="C29" s="383">
        <f>IFERROR('a（自動）計算用'!I27,"")</f>
        <v>24.805629901955808</v>
      </c>
      <c r="D29" s="384">
        <f>IFERROR('a（自動）計算用'!F27,"")</f>
        <v>1153.0043655536742</v>
      </c>
      <c r="E29" s="385">
        <f>IFERROR('a（自動）計算用'!J27,"")</f>
        <v>0.45676248623440469</v>
      </c>
      <c r="F29" s="383">
        <f>IFERROR('a（自動）計算用'!H27,"")</f>
        <v>526.64914064941865</v>
      </c>
      <c r="G29" s="385">
        <f>IFERROR('a（自動）計算用'!K27,"")</f>
        <v>0.74</v>
      </c>
      <c r="H29" s="384">
        <f>IFERROR('a（自動）計算用'!L27,"")</f>
        <v>0</v>
      </c>
      <c r="I29" s="386">
        <f>IFERROR('a（自動）計算用'!M27,"")</f>
        <v>0</v>
      </c>
      <c r="J29" s="383">
        <f>IFERROR('a（自動）計算用'!O27,"")</f>
        <v>0</v>
      </c>
      <c r="K29" s="384">
        <f>IFERROR('a（自動）計算用'!S27,"")</f>
        <v>1153.0043655536742</v>
      </c>
      <c r="L29" s="385">
        <f>IFERROR('a（自動）計算用'!V27,"")</f>
        <v>0.74610564407515667</v>
      </c>
    </row>
    <row r="30" spans="1:12" ht="13.5" customHeight="1">
      <c r="A30" s="382">
        <v>33</v>
      </c>
      <c r="B30" s="383">
        <f>IFERROR('a（自動）計算用'!G28,"")</f>
        <v>19.558593363470184</v>
      </c>
      <c r="C30" s="383">
        <f>IFERROR('a（自動）計算用'!I28,"")</f>
        <v>25.068245738886567</v>
      </c>
      <c r="D30" s="384">
        <f>IFERROR('a（自動）計算用'!F28,"")</f>
        <v>1153.0043655536742</v>
      </c>
      <c r="E30" s="385">
        <f>IFERROR('a（自動）計算用'!J28,"")</f>
        <v>0.47582515791448587</v>
      </c>
      <c r="F30" s="383">
        <f>IFERROR('a（自動）計算用'!H28,"")</f>
        <v>548.62848431566863</v>
      </c>
      <c r="G30" s="385">
        <f>IFERROR('a（自動）計算用'!K28,"")</f>
        <v>0.75</v>
      </c>
      <c r="H30" s="384">
        <f>IFERROR('a（自動）計算用'!L28,"")</f>
        <v>320</v>
      </c>
      <c r="I30" s="386">
        <f>IFERROR('a（自動）計算用'!M28,"")</f>
        <v>0.27753580954252116</v>
      </c>
      <c r="J30" s="383">
        <f>IFERROR('a（自動）計算用'!O28,"")</f>
        <v>79.12341152330589</v>
      </c>
      <c r="K30" s="384">
        <f>IFERROR('a（自動）計算用'!S28,"")</f>
        <v>833.00436555367423</v>
      </c>
      <c r="L30" s="385">
        <f>IFERROR('a（自動）計算用'!V28,"")</f>
        <v>0.64672884258404628</v>
      </c>
    </row>
    <row r="31" spans="1:12" ht="13.5" customHeight="1">
      <c r="A31" s="382">
        <v>34</v>
      </c>
      <c r="B31" s="383">
        <f>IFERROR('a（自動）計算用'!G29,"")</f>
        <v>19.963775477128916</v>
      </c>
      <c r="C31" s="383">
        <f>IFERROR('a（自動）計算用'!I29,"")</f>
        <v>28.162666852121546</v>
      </c>
      <c r="D31" s="384">
        <f>IFERROR('a（自動）計算用'!F29,"")</f>
        <v>833.00436555367423</v>
      </c>
      <c r="E31" s="385">
        <f>IFERROR('a（自動）計算用'!J29,"")</f>
        <v>0.58725277777198115</v>
      </c>
      <c r="F31" s="383">
        <f>IFERROR('a（自動）計算用'!H29,"")</f>
        <v>489.18412756758204</v>
      </c>
      <c r="G31" s="385">
        <f>IFERROR('a（自動）計算用'!K29,"")</f>
        <v>0.65</v>
      </c>
      <c r="H31" s="384">
        <f>IFERROR('a（自動）計算用'!L29,"")</f>
        <v>0</v>
      </c>
      <c r="I31" s="386">
        <f>IFERROR('a（自動）計算用'!M29,"")</f>
        <v>0</v>
      </c>
      <c r="J31" s="383">
        <f>IFERROR('a（自動）計算用'!O29,"")</f>
        <v>0</v>
      </c>
      <c r="K31" s="384">
        <f>IFERROR('a（自動）計算用'!S29,"")</f>
        <v>833.00436555367423</v>
      </c>
      <c r="L31" s="385">
        <f>IFERROR('a（自動）計算用'!V29,"")</f>
        <v>0.65601680991984401</v>
      </c>
    </row>
    <row r="32" spans="1:12" ht="13.5" customHeight="1">
      <c r="A32" s="382">
        <v>35</v>
      </c>
      <c r="B32" s="383">
        <f>IFERROR('a（自動）計算用'!G30,"")</f>
        <v>20.358566807421841</v>
      </c>
      <c r="C32" s="383">
        <f>IFERROR('a（自動）計算用'!I30,"")</f>
        <v>28.461133192967722</v>
      </c>
      <c r="D32" s="384">
        <f>IFERROR('a（自動）計算用'!F30,"")</f>
        <v>833.00436555367423</v>
      </c>
      <c r="E32" s="385">
        <f>IFERROR('a（自動）計算用'!J30,"")</f>
        <v>0.61062952693680994</v>
      </c>
      <c r="F32" s="383">
        <f>IFERROR('a（自動）計算用'!H30,"")</f>
        <v>508.65706167433763</v>
      </c>
      <c r="G32" s="385">
        <f>IFERROR('a（自動）計算用'!K30,"")</f>
        <v>0.66</v>
      </c>
      <c r="H32" s="384">
        <f>IFERROR('a（自動）計算用'!L30,"")</f>
        <v>0</v>
      </c>
      <c r="I32" s="386">
        <f>IFERROR('a（自動）計算用'!M30,"")</f>
        <v>0</v>
      </c>
      <c r="J32" s="383">
        <f>IFERROR('a（自動）計算用'!O30,"")</f>
        <v>0</v>
      </c>
      <c r="K32" s="384">
        <f>IFERROR('a（自動）計算用'!S30,"")</f>
        <v>833.00436555367423</v>
      </c>
      <c r="L32" s="385">
        <f>IFERROR('a（自動）計算用'!V30,"")</f>
        <v>0.66489317764128286</v>
      </c>
    </row>
    <row r="33" spans="1:12" ht="13.5" customHeight="1">
      <c r="A33" s="382">
        <v>36</v>
      </c>
      <c r="B33" s="383">
        <f>IFERROR('a（自動）計算用'!G31,"")</f>
        <v>20.743172413359066</v>
      </c>
      <c r="C33" s="383">
        <f>IFERROR('a（自動）計算用'!I31,"")</f>
        <v>28.746482419560312</v>
      </c>
      <c r="D33" s="384">
        <f>IFERROR('a（自動）計算用'!F31,"")</f>
        <v>833.00436555367423</v>
      </c>
      <c r="E33" s="385">
        <f>IFERROR('a（自動）計算用'!J31,"")</f>
        <v>0.633737361261409</v>
      </c>
      <c r="F33" s="383">
        <f>IFERROR('a（自動）計算用'!H31,"")</f>
        <v>527.90598854521966</v>
      </c>
      <c r="G33" s="385">
        <f>IFERROR('a（自動）計算用'!K31,"")</f>
        <v>0.67</v>
      </c>
      <c r="H33" s="384">
        <f>IFERROR('a（自動）計算用'!L31,"")</f>
        <v>0</v>
      </c>
      <c r="I33" s="386">
        <f>IFERROR('a（自動）計算用'!M31,"")</f>
        <v>0</v>
      </c>
      <c r="J33" s="383">
        <f>IFERROR('a（自動）計算用'!O31,"")</f>
        <v>0</v>
      </c>
      <c r="K33" s="384">
        <f>IFERROR('a（自動）計算用'!S31,"")</f>
        <v>833.00436555367423</v>
      </c>
      <c r="L33" s="385">
        <f>IFERROR('a（自動）計算用'!V31,"")</f>
        <v>0.67337926932328995</v>
      </c>
    </row>
    <row r="34" spans="1:12" ht="13.5" customHeight="1">
      <c r="A34" s="382">
        <v>37</v>
      </c>
      <c r="B34" s="383">
        <f>IFERROR('a（自動）計算用'!G32,"")</f>
        <v>21.117800158034136</v>
      </c>
      <c r="C34" s="383">
        <f>IFERROR('a（自動）計算用'!I32,"")</f>
        <v>29.019429308496541</v>
      </c>
      <c r="D34" s="384">
        <f>IFERROR('a（自動）計算用'!F32,"")</f>
        <v>833.00436555367423</v>
      </c>
      <c r="E34" s="385">
        <f>IFERROR('a（自動）計算用'!J32,"")</f>
        <v>0.65655743687547141</v>
      </c>
      <c r="F34" s="383">
        <f>IFERROR('a（自動）計算用'!H32,"")</f>
        <v>546.9152111539986</v>
      </c>
      <c r="G34" s="385">
        <f>IFERROR('a（自動）計算用'!K32,"")</f>
        <v>0.68</v>
      </c>
      <c r="H34" s="384">
        <f>IFERROR('a（自動）計算用'!L32,"")</f>
        <v>0</v>
      </c>
      <c r="I34" s="386">
        <f>IFERROR('a（自動）計算用'!M32,"")</f>
        <v>0</v>
      </c>
      <c r="J34" s="383">
        <f>IFERROR('a（自動）計算用'!O32,"")</f>
        <v>0</v>
      </c>
      <c r="K34" s="384">
        <f>IFERROR('a（自動）計算用'!S32,"")</f>
        <v>833.00436555367423</v>
      </c>
      <c r="L34" s="385">
        <f>IFERROR('a（自動）計算用'!V32,"")</f>
        <v>0.68149524309255083</v>
      </c>
    </row>
    <row r="35" spans="1:12" ht="13.5" customHeight="1">
      <c r="A35" s="382">
        <v>38</v>
      </c>
      <c r="B35" s="383">
        <f>IFERROR('a（自動）計算用'!G33,"")</f>
        <v>21.482660040158859</v>
      </c>
      <c r="C35" s="383">
        <f>IFERROR('a（自動）計算用'!I33,"")</f>
        <v>29.28064210267361</v>
      </c>
      <c r="D35" s="384">
        <f>IFERROR('a（自動）計算用'!F33,"")</f>
        <v>833.00436555367423</v>
      </c>
      <c r="E35" s="385">
        <f>IFERROR('a（自動）計算用'!J33,"")</f>
        <v>0.67907334310706402</v>
      </c>
      <c r="F35" s="383">
        <f>IFERROR('a（自動）計算用'!H33,"")</f>
        <v>565.67105933931236</v>
      </c>
      <c r="G35" s="385">
        <f>IFERROR('a（自動）計算用'!K33,"")</f>
        <v>0.68</v>
      </c>
      <c r="H35" s="384">
        <f>IFERROR('a（自動）計算用'!L33,"")</f>
        <v>0</v>
      </c>
      <c r="I35" s="386">
        <f>IFERROR('a（自動）計算用'!M33,"")</f>
        <v>0</v>
      </c>
      <c r="J35" s="383">
        <f>IFERROR('a（自動）計算用'!O33,"")</f>
        <v>0</v>
      </c>
      <c r="K35" s="384">
        <f>IFERROR('a（自動）計算用'!S33,"")</f>
        <v>833.00436555367423</v>
      </c>
      <c r="L35" s="385">
        <f>IFERROR('a（自動）計算用'!V33,"")</f>
        <v>0.68926014634380539</v>
      </c>
    </row>
    <row r="36" spans="1:12" ht="13.5" customHeight="1">
      <c r="A36" s="382">
        <v>39</v>
      </c>
      <c r="B36" s="383">
        <f>IFERROR('a（自動）計算用'!G34,"")</f>
        <v>21.837963543650535</v>
      </c>
      <c r="C36" s="383">
        <f>IFERROR('a（自動）計算用'!I34,"")</f>
        <v>29.530746049025506</v>
      </c>
      <c r="D36" s="384">
        <f>IFERROR('a（自動）計算用'!F34,"")</f>
        <v>833.00436555367423</v>
      </c>
      <c r="E36" s="385">
        <f>IFERROR('a（自動）計算用'!J34,"")</f>
        <v>0.70127091545179521</v>
      </c>
      <c r="F36" s="383">
        <f>IFERROR('a（自動）計算用'!H34,"")</f>
        <v>584.16173400716696</v>
      </c>
      <c r="G36" s="385">
        <f>IFERROR('a（自動）計算用'!K34,"")</f>
        <v>0.69</v>
      </c>
      <c r="H36" s="384">
        <f>IFERROR('a（自動）計算用'!L34,"")</f>
        <v>0</v>
      </c>
      <c r="I36" s="386">
        <f>IFERROR('a（自動）計算用'!M34,"")</f>
        <v>0</v>
      </c>
      <c r="J36" s="383">
        <f>IFERROR('a（自動）計算用'!O34,"")</f>
        <v>0</v>
      </c>
      <c r="K36" s="384">
        <f>IFERROR('a（自動）計算用'!S34,"")</f>
        <v>833.00436555367423</v>
      </c>
      <c r="L36" s="385">
        <f>IFERROR('a（自動）計算用'!V34,"")</f>
        <v>0.69669197019456963</v>
      </c>
    </row>
    <row r="37" spans="1:12" ht="13.5" customHeight="1">
      <c r="A37" s="382">
        <v>40</v>
      </c>
      <c r="B37" s="383">
        <f>IFERROR('a（自動）計算用'!G35,"")</f>
        <v>22.183923011010634</v>
      </c>
      <c r="C37" s="383">
        <f>IFERROR('a（自動）計算用'!I35,"")</f>
        <v>29.770326614206979</v>
      </c>
      <c r="D37" s="384">
        <f>IFERROR('a（自動）計算用'!F35,"")</f>
        <v>833.00436555367423</v>
      </c>
      <c r="E37" s="385">
        <f>IFERROR('a（自動）計算用'!J35,"")</f>
        <v>0.72313805713622092</v>
      </c>
      <c r="F37" s="383">
        <f>IFERROR('a（自動）計算用'!H35,"")</f>
        <v>602.37715849247434</v>
      </c>
      <c r="G37" s="385">
        <f>IFERROR('a（自動）計算用'!K35,"")</f>
        <v>0.7</v>
      </c>
      <c r="H37" s="384">
        <f>IFERROR('a（自動）計算用'!L35,"")</f>
        <v>0</v>
      </c>
      <c r="I37" s="386">
        <f>IFERROR('a（自動）計算用'!M35,"")</f>
        <v>0</v>
      </c>
      <c r="J37" s="383">
        <f>IFERROR('a（自動）計算用'!O35,"")</f>
        <v>0</v>
      </c>
      <c r="K37" s="384">
        <f>IFERROR('a（自動）計算用'!S35,"")</f>
        <v>833.00436555367423</v>
      </c>
      <c r="L37" s="385">
        <f>IFERROR('a（自動）計算用'!V35,"")</f>
        <v>0.7038077030763662</v>
      </c>
    </row>
    <row r="38" spans="1:12" ht="13.5" customHeight="1">
      <c r="A38" s="382">
        <v>41</v>
      </c>
      <c r="B38" s="383">
        <f>IFERROR('a（自動）計算用'!G36,"")</f>
        <v>22.520751045788124</v>
      </c>
      <c r="C38" s="383">
        <f>IFERROR('a（自動）計算用'!I36,"")</f>
        <v>29.999932413522846</v>
      </c>
      <c r="D38" s="384">
        <f>IFERROR('a（自動）計算用'!F36,"")</f>
        <v>833.00436555367423</v>
      </c>
      <c r="E38" s="385">
        <f>IFERROR('a（自動）計算用'!J36,"")</f>
        <v>0.74466456952963367</v>
      </c>
      <c r="F38" s="383">
        <f>IFERROR('a（自動）計算用'!H36,"")</f>
        <v>620.30883729133245</v>
      </c>
      <c r="G38" s="385">
        <f>IFERROR('a（自動）計算用'!K36,"")</f>
        <v>0.71</v>
      </c>
      <c r="H38" s="384">
        <f>IFERROR('a（自動）計算用'!L36,"")</f>
        <v>0</v>
      </c>
      <c r="I38" s="386">
        <f>IFERROR('a（自動）計算用'!M36,"")</f>
        <v>0</v>
      </c>
      <c r="J38" s="383">
        <f>IFERROR('a（自動）計算用'!O36,"")</f>
        <v>0</v>
      </c>
      <c r="K38" s="384">
        <f>IFERROR('a（自動）計算用'!S36,"")</f>
        <v>833.00436555367423</v>
      </c>
      <c r="L38" s="385">
        <f>IFERROR('a（自動）計算用'!V36,"")</f>
        <v>0.71062338303679007</v>
      </c>
    </row>
    <row r="39" spans="1:12" ht="13.5" customHeight="1">
      <c r="A39" s="382">
        <v>42</v>
      </c>
      <c r="B39" s="383">
        <f>IFERROR('a（自動）計算用'!G37,"")</f>
        <v>22.848659948719757</v>
      </c>
      <c r="C39" s="383">
        <f>IFERROR('a（自動）計算用'!I37,"")</f>
        <v>30.220077884262597</v>
      </c>
      <c r="D39" s="384">
        <f>IFERROR('a（自動）計算用'!F37,"")</f>
        <v>833.00436555367423</v>
      </c>
      <c r="E39" s="385">
        <f>IFERROR('a（自動）計算用'!J37,"")</f>
        <v>0.7658419915757152</v>
      </c>
      <c r="F39" s="383">
        <f>IFERROR('a（自動）計算用'!H37,"")</f>
        <v>637.94972230689098</v>
      </c>
      <c r="G39" s="385">
        <f>IFERROR('a（自動）計算用'!K37,"")</f>
        <v>0.71</v>
      </c>
      <c r="H39" s="384">
        <f>IFERROR('a（自動）計算用'!L37,"")</f>
        <v>0</v>
      </c>
      <c r="I39" s="386">
        <f>IFERROR('a（自動）計算用'!M37,"")</f>
        <v>0</v>
      </c>
      <c r="J39" s="383">
        <f>IFERROR('a（自動）計算用'!O37,"")</f>
        <v>0</v>
      </c>
      <c r="K39" s="384">
        <f>IFERROR('a（自動）計算用'!S37,"")</f>
        <v>833.00436555367423</v>
      </c>
      <c r="L39" s="385">
        <f>IFERROR('a（自動）計算用'!V37,"")</f>
        <v>0.71715414845786385</v>
      </c>
    </row>
    <row r="40" spans="1:12" ht="13.5" customHeight="1">
      <c r="A40" s="382">
        <v>43</v>
      </c>
      <c r="B40" s="383">
        <f>IFERROR('a（自動）計算用'!G38,"")</f>
        <v>23.167861191282384</v>
      </c>
      <c r="C40" s="383">
        <f>IFERROR('a（自動）計算用'!I38,"")</f>
        <v>30.431245730850911</v>
      </c>
      <c r="D40" s="384">
        <f>IFERROR('a（自動）計算用'!F38,"")</f>
        <v>833.00436555367423</v>
      </c>
      <c r="E40" s="385">
        <f>IFERROR('a（自動）計算用'!J38,"")</f>
        <v>0.78666344833309121</v>
      </c>
      <c r="F40" s="383">
        <f>IFERROR('a（自動）計算用'!H38,"")</f>
        <v>655.29408668297219</v>
      </c>
      <c r="G40" s="385">
        <f>IFERROR('a（自動）計算用'!K38,"")</f>
        <v>0.72</v>
      </c>
      <c r="H40" s="384">
        <f>IFERROR('a（自動）計算用'!L38,"")</f>
        <v>0</v>
      </c>
      <c r="I40" s="386">
        <f>IFERROR('a（自動）計算用'!M38,"")</f>
        <v>0</v>
      </c>
      <c r="J40" s="383">
        <f>IFERROR('a（自動）計算用'!O38,"")</f>
        <v>0</v>
      </c>
      <c r="K40" s="384">
        <f>IFERROR('a（自動）計算用'!S38,"")</f>
        <v>833.00436555367423</v>
      </c>
      <c r="L40" s="385">
        <f>IFERROR('a（自動）計算用'!V38,"")</f>
        <v>0.723414286993314</v>
      </c>
    </row>
    <row r="41" spans="1:12" ht="13.5" customHeight="1">
      <c r="A41" s="382">
        <v>44</v>
      </c>
      <c r="B41" s="383">
        <f>IFERROR('a（自動）計算用'!G39,"")</f>
        <v>23.478564929459516</v>
      </c>
      <c r="C41" s="383">
        <f>IFERROR('a（自動）計算用'!I39,"")</f>
        <v>30.633889165865401</v>
      </c>
      <c r="D41" s="384">
        <f>IFERROR('a（自動）計算用'!F39,"")</f>
        <v>833.00436555367423</v>
      </c>
      <c r="E41" s="385">
        <f>IFERROR('a（自動）計算用'!J39,"")</f>
        <v>0.80712350863302085</v>
      </c>
      <c r="F41" s="383">
        <f>IFERROR('a（自動）計算用'!H39,"")</f>
        <v>672.33740623230506</v>
      </c>
      <c r="G41" s="385">
        <f>IFERROR('a（自動）計算用'!K39,"")</f>
        <v>0.72</v>
      </c>
      <c r="H41" s="384">
        <f>IFERROR('a（自動）計算用'!L39,"")</f>
        <v>0</v>
      </c>
      <c r="I41" s="386">
        <f>IFERROR('a（自動）計算用'!M39,"")</f>
        <v>0</v>
      </c>
      <c r="J41" s="383">
        <f>IFERROR('a（自動）計算用'!O39,"")</f>
        <v>0</v>
      </c>
      <c r="K41" s="384">
        <f>IFERROR('a（自動）計算用'!S39,"")</f>
        <v>833.00436555367423</v>
      </c>
      <c r="L41" s="385">
        <f>IFERROR('a（自動）計算用'!V39,"")</f>
        <v>0.72941728259923755</v>
      </c>
    </row>
    <row r="42" spans="1:12" ht="13.5" customHeight="1">
      <c r="A42" s="382">
        <v>45</v>
      </c>
      <c r="B42" s="383">
        <f>IFERROR('a（自動）計算用'!G40,"")</f>
        <v>23.780979559582203</v>
      </c>
      <c r="C42" s="383">
        <f>IFERROR('a（自動）計算用'!I40,"")</f>
        <v>30.828433967991618</v>
      </c>
      <c r="D42" s="384">
        <f>IFERROR('a（自動）計算用'!F40,"")</f>
        <v>833.00436555367423</v>
      </c>
      <c r="E42" s="385">
        <f>IFERROR('a（自動）計算用'!J40,"")</f>
        <v>0.82721805178527641</v>
      </c>
      <c r="F42" s="383">
        <f>IFERROR('a（自動）計算用'!H40,"")</f>
        <v>689.07624840194057</v>
      </c>
      <c r="G42" s="385">
        <f>IFERROR('a（自動）計算用'!K40,"")</f>
        <v>0.73</v>
      </c>
      <c r="H42" s="384">
        <f>IFERROR('a（自動）計算用'!L40,"")</f>
        <v>0</v>
      </c>
      <c r="I42" s="386">
        <f>IFERROR('a（自動）計算用'!M40,"")</f>
        <v>0</v>
      </c>
      <c r="J42" s="383">
        <f>IFERROR('a（自動）計算用'!O40,"")</f>
        <v>0</v>
      </c>
      <c r="K42" s="384">
        <f>IFERROR('a（自動）計算用'!S40,"")</f>
        <v>833.00436555367423</v>
      </c>
      <c r="L42" s="385">
        <f>IFERROR('a（自動）計算用'!V40,"")</f>
        <v>0.73517586058567297</v>
      </c>
    </row>
    <row r="43" spans="1:12" ht="13.5" customHeight="1">
      <c r="A43" s="382">
        <v>46</v>
      </c>
      <c r="B43" s="383">
        <f>IFERROR('a（自動）計算用'!G41,"")</f>
        <v>24.075311317201503</v>
      </c>
      <c r="C43" s="383">
        <f>IFERROR('a（自動）計算用'!I41,"")</f>
        <v>31.01528037536141</v>
      </c>
      <c r="D43" s="384">
        <f>IFERROR('a（自動）計算用'!F41,"")</f>
        <v>833.00436555367423</v>
      </c>
      <c r="E43" s="385">
        <f>IFERROR('a（自動）計算用'!J41,"")</f>
        <v>0.8469441431914706</v>
      </c>
      <c r="F43" s="383">
        <f>IFERROR('a（自動）計算用'!H41,"")</f>
        <v>705.50816865861123</v>
      </c>
      <c r="G43" s="385">
        <f>IFERROR('a（自動）計算用'!K41,"")</f>
        <v>0.74</v>
      </c>
      <c r="H43" s="384">
        <f>IFERROR('a（自動）計算用'!L41,"")</f>
        <v>0</v>
      </c>
      <c r="I43" s="386">
        <f>IFERROR('a（自動）計算用'!M41,"")</f>
        <v>0</v>
      </c>
      <c r="J43" s="383">
        <f>IFERROR('a（自動）計算用'!O41,"")</f>
        <v>0</v>
      </c>
      <c r="K43" s="384">
        <f>IFERROR('a（自動）計算用'!S41,"")</f>
        <v>833.00436555367423</v>
      </c>
      <c r="L43" s="385">
        <f>IFERROR('a（自動）計算用'!V41,"")</f>
        <v>0.74070203065569584</v>
      </c>
    </row>
    <row r="44" spans="1:12" ht="13.5" customHeight="1">
      <c r="A44" s="382">
        <v>47</v>
      </c>
      <c r="B44" s="383">
        <f>IFERROR('a（自動）計算用'!G42,"")</f>
        <v>24.361763919122062</v>
      </c>
      <c r="C44" s="383">
        <f>IFERROR('a（自動）計算用'!I42,"")</f>
        <v>31.194804830427334</v>
      </c>
      <c r="D44" s="384">
        <f>IFERROR('a（自動）計算用'!F42,"")</f>
        <v>833.00436555367423</v>
      </c>
      <c r="E44" s="385">
        <f>IFERROR('a（自動）計算用'!J42,"")</f>
        <v>0.86629991866031641</v>
      </c>
      <c r="F44" s="383">
        <f>IFERROR('a（自動）計算用'!H42,"")</f>
        <v>721.63161412283648</v>
      </c>
      <c r="G44" s="385">
        <f>IFERROR('a（自動）計算用'!K42,"")</f>
        <v>0.74</v>
      </c>
      <c r="H44" s="384">
        <f>IFERROR('a（自動）計算用'!L42,"")</f>
        <v>0</v>
      </c>
      <c r="I44" s="386">
        <f>IFERROR('a（自動）計算用'!M42,"")</f>
        <v>0</v>
      </c>
      <c r="J44" s="383">
        <f>IFERROR('a（自動）計算用'!O42,"")</f>
        <v>0</v>
      </c>
      <c r="K44" s="384">
        <f>IFERROR('a（自動）計算用'!S42,"")</f>
        <v>833.00436555367423</v>
      </c>
      <c r="L44" s="385">
        <f>IFERROR('a（自動）計算用'!V42,"")</f>
        <v>0.74600712792753343</v>
      </c>
    </row>
    <row r="45" spans="1:12" ht="13.5" customHeight="1">
      <c r="A45" s="382">
        <v>48</v>
      </c>
      <c r="B45" s="383">
        <f>IFERROR('a（自動）計算用'!G43,"")</f>
        <v>24.64053824799684</v>
      </c>
      <c r="C45" s="383">
        <f>IFERROR('a（自動）計算用'!I43,"")</f>
        <v>31.367361590533299</v>
      </c>
      <c r="D45" s="384">
        <f>IFERROR('a（自動）計算用'!F43,"")</f>
        <v>833.00436555367423</v>
      </c>
      <c r="E45" s="385">
        <f>IFERROR('a（自動）計算用'!J43,"")</f>
        <v>0.88528447716268799</v>
      </c>
      <c r="F45" s="383">
        <f>IFERROR('a（自動）計算用'!H43,"")</f>
        <v>737.44583423342112</v>
      </c>
      <c r="G45" s="385">
        <f>IFERROR('a（自動）計算用'!K43,"")</f>
        <v>0.75</v>
      </c>
      <c r="H45" s="384">
        <f>IFERROR('a（自動）計算用'!L43,"")</f>
        <v>220</v>
      </c>
      <c r="I45" s="386">
        <f>IFERROR('a（自動）計算用'!M43,"")</f>
        <v>0.26410425814968241</v>
      </c>
      <c r="J45" s="383">
        <f>IFERROR('a（自動）計算用'!O43,"")</f>
        <v>100.98854096032574</v>
      </c>
      <c r="K45" s="384">
        <f>IFERROR('a（自動）計算用'!S43,"")</f>
        <v>613.00436555367423</v>
      </c>
      <c r="L45" s="385">
        <f>IFERROR('a（自動）計算用'!V43,"")</f>
        <v>0.64824320577467209</v>
      </c>
    </row>
    <row r="46" spans="1:12" ht="13.5" customHeight="1">
      <c r="A46" s="382">
        <v>49</v>
      </c>
      <c r="B46" s="383">
        <f>IFERROR('a（自動）計算用'!G44,"")</f>
        <v>24.911832078263824</v>
      </c>
      <c r="C46" s="383">
        <f>IFERROR('a（自動）計算用'!I44,"")</f>
        <v>34.768742386492079</v>
      </c>
      <c r="D46" s="384">
        <f>IFERROR('a（自動）計算用'!F44,"")</f>
        <v>613.00436555367423</v>
      </c>
      <c r="E46" s="385">
        <f>IFERROR('a（自動）計算用'!J44,"")</f>
        <v>1.0612836314871243</v>
      </c>
      <c r="F46" s="383">
        <f>IFERROR('a（自動）計算用'!H44,"")</f>
        <v>650.57149919226401</v>
      </c>
      <c r="G46" s="385">
        <f>IFERROR('a（自動）計算用'!K44,"")</f>
        <v>0.65</v>
      </c>
      <c r="H46" s="384">
        <f>IFERROR('a（自動）計算用'!L44,"")</f>
        <v>0</v>
      </c>
      <c r="I46" s="386">
        <f>IFERROR('a（自動）計算用'!M44,"")</f>
        <v>0</v>
      </c>
      <c r="J46" s="383">
        <f>IFERROR('a（自動）計算用'!O44,"")</f>
        <v>0</v>
      </c>
      <c r="K46" s="384">
        <f>IFERROR('a（自動）計算用'!S44,"")</f>
        <v>613.00436555367423</v>
      </c>
      <c r="L46" s="385">
        <f>IFERROR('a（自動）計算用'!V44,"")</f>
        <v>0.65320290505853573</v>
      </c>
    </row>
    <row r="47" spans="1:12" ht="13.5" customHeight="1">
      <c r="A47" s="382">
        <v>50</v>
      </c>
      <c r="B47" s="383">
        <f>IFERROR('a（自動）計算用'!G45,"")</f>
        <v>25.175839841701567</v>
      </c>
      <c r="C47" s="383">
        <f>IFERROR('a（自動）計算用'!I45,"")</f>
        <v>34.965136950983052</v>
      </c>
      <c r="D47" s="384">
        <f>IFERROR('a（自動）計算用'!F45,"")</f>
        <v>613.00436555367423</v>
      </c>
      <c r="E47" s="385">
        <f>IFERROR('a（自動）計算用'!J45,"")</f>
        <v>1.0838770508021227</v>
      </c>
      <c r="F47" s="383">
        <f>IFERROR('a（自動）計算用'!H45,"")</f>
        <v>664.42136386514278</v>
      </c>
      <c r="G47" s="385">
        <f>IFERROR('a（自動）計算用'!K45,"")</f>
        <v>0.65</v>
      </c>
      <c r="H47" s="384">
        <f>IFERROR('a（自動）計算用'!L45,"")</f>
        <v>0</v>
      </c>
      <c r="I47" s="386">
        <f>IFERROR('a（自動）計算用'!M45,"")</f>
        <v>0</v>
      </c>
      <c r="J47" s="383">
        <f>IFERROR('a（自動）計算用'!O45,"")</f>
        <v>0</v>
      </c>
      <c r="K47" s="384">
        <f>IFERROR('a（自動）計算用'!S45,"")</f>
        <v>613.00436555367423</v>
      </c>
      <c r="L47" s="385">
        <f>IFERROR('a（自動）計算用'!V45,"")</f>
        <v>0.65797987535215408</v>
      </c>
    </row>
    <row r="48" spans="1:12" ht="13.5" customHeight="1">
      <c r="A48" s="382">
        <v>51</v>
      </c>
      <c r="B48" s="383">
        <f>IFERROR('a（自動）計算用'!G46,"")</f>
        <v>25.432752430488847</v>
      </c>
      <c r="C48" s="383">
        <f>IFERROR('a（自動）計算用'!I46,"")</f>
        <v>35.154335074364454</v>
      </c>
      <c r="D48" s="384">
        <f>IFERROR('a（自動）計算用'!F46,"")</f>
        <v>613.00436555367423</v>
      </c>
      <c r="E48" s="385">
        <f>IFERROR('a（自動）計算用'!J46,"")</f>
        <v>1.1060388348802741</v>
      </c>
      <c r="F48" s="383">
        <f>IFERROR('a（自動）計算用'!H46,"")</f>
        <v>678.00663425350751</v>
      </c>
      <c r="G48" s="385">
        <f>IFERROR('a（自動）計算用'!K46,"")</f>
        <v>0.66</v>
      </c>
      <c r="H48" s="384">
        <f>IFERROR('a（自動）計算用'!L46,"")</f>
        <v>0</v>
      </c>
      <c r="I48" s="386">
        <f>IFERROR('a（自動）計算用'!M46,"")</f>
        <v>0</v>
      </c>
      <c r="J48" s="383">
        <f>IFERROR('a（自動）計算用'!O46,"")</f>
        <v>0</v>
      </c>
      <c r="K48" s="384">
        <f>IFERROR('a（自動）計算用'!S46,"")</f>
        <v>613.00436555367423</v>
      </c>
      <c r="L48" s="385">
        <f>IFERROR('a（自動）計算用'!V46,"")</f>
        <v>0.66258206748535997</v>
      </c>
    </row>
    <row r="49" spans="1:12" ht="13.5" customHeight="1">
      <c r="A49" s="382">
        <v>52</v>
      </c>
      <c r="B49" s="383">
        <f>IFERROR('a（自動）計算用'!G47,"")</f>
        <v>25.682757035368347</v>
      </c>
      <c r="C49" s="383">
        <f>IFERROR('a（自動）計算用'!I47,"")</f>
        <v>35.336656257800101</v>
      </c>
      <c r="D49" s="384">
        <f>IFERROR('a（自動）計算用'!F47,"")</f>
        <v>613.00436555367423</v>
      </c>
      <c r="E49" s="385">
        <f>IFERROR('a（自動）計算用'!J47,"")</f>
        <v>1.1277694549104957</v>
      </c>
      <c r="F49" s="383">
        <f>IFERROR('a（自動）計算用'!H47,"")</f>
        <v>691.32759919822149</v>
      </c>
      <c r="G49" s="385">
        <f>IFERROR('a（自動）計算用'!K47,"")</f>
        <v>0.66</v>
      </c>
      <c r="H49" s="384">
        <f>IFERROR('a（自動）計算用'!L47,"")</f>
        <v>0</v>
      </c>
      <c r="I49" s="386">
        <f>IFERROR('a（自動）計算用'!M47,"")</f>
        <v>0</v>
      </c>
      <c r="J49" s="383">
        <f>IFERROR('a（自動）計算用'!O47,"")</f>
        <v>0</v>
      </c>
      <c r="K49" s="384">
        <f>IFERROR('a（自動）計算用'!S47,"")</f>
        <v>613.00436555367423</v>
      </c>
      <c r="L49" s="385">
        <f>IFERROR('a（自動）計算用'!V47,"")</f>
        <v>0.66701704022011521</v>
      </c>
    </row>
    <row r="50" spans="1:12" ht="13.5" customHeight="1">
      <c r="A50" s="382">
        <v>53</v>
      </c>
      <c r="B50" s="383">
        <f>IFERROR('a（自動）計算用'!G48,"")</f>
        <v>25.926037016324717</v>
      </c>
      <c r="C50" s="383">
        <f>IFERROR('a（自動）計算用'!I48,"")</f>
        <v>35.512402984379627</v>
      </c>
      <c r="D50" s="384">
        <f>IFERROR('a（自動）計算用'!F48,"")</f>
        <v>613.00436555367423</v>
      </c>
      <c r="E50" s="385">
        <f>IFERROR('a（自動）計算用'!J48,"")</f>
        <v>1.1490701742019473</v>
      </c>
      <c r="F50" s="383">
        <f>IFERROR('a（自動）計算用'!H48,"")</f>
        <v>704.38503311331465</v>
      </c>
      <c r="G50" s="385">
        <f>IFERROR('a（自動）計算用'!K48,"")</f>
        <v>0.67</v>
      </c>
      <c r="H50" s="384">
        <f>IFERROR('a（自動）計算用'!L48,"")</f>
        <v>0</v>
      </c>
      <c r="I50" s="386">
        <f>IFERROR('a（自動）計算用'!M48,"")</f>
        <v>0</v>
      </c>
      <c r="J50" s="383">
        <f>IFERROR('a（自動）計算用'!O48,"")</f>
        <v>0</v>
      </c>
      <c r="K50" s="384">
        <f>IFERROR('a（自動）計算用'!S48,"")</f>
        <v>613.00436555367423</v>
      </c>
      <c r="L50" s="385">
        <f>IFERROR('a（自動）計算用'!V48,"")</f>
        <v>0.67129197945099583</v>
      </c>
    </row>
    <row r="51" spans="1:12" ht="13.5" customHeight="1">
      <c r="A51" s="382">
        <v>54</v>
      </c>
      <c r="B51" s="383">
        <f>IFERROR('a（自動）計算用'!G49,"")</f>
        <v>26.162771803082592</v>
      </c>
      <c r="C51" s="383">
        <f>IFERROR('a（自動）計算用'!I49,"")</f>
        <v>35.681861738537783</v>
      </c>
      <c r="D51" s="384">
        <f>IFERROR('a（自動）計算用'!F49,"")</f>
        <v>613.00436555367423</v>
      </c>
      <c r="E51" s="385">
        <f>IFERROR('a（自動）計算用'!J49,"")</f>
        <v>1.1699429637621841</v>
      </c>
      <c r="F51" s="383">
        <f>IFERROR('a（自動）計算用'!H49,"")</f>
        <v>717.18014423502291</v>
      </c>
      <c r="G51" s="385">
        <f>IFERROR('a（自動）計算用'!K49,"")</f>
        <v>0.67</v>
      </c>
      <c r="H51" s="384">
        <f>IFERROR('a（自動）計算用'!L49,"")</f>
        <v>0</v>
      </c>
      <c r="I51" s="386">
        <f>IFERROR('a（自動）計算用'!M49,"")</f>
        <v>0</v>
      </c>
      <c r="J51" s="383">
        <f>IFERROR('a（自動）計算用'!O49,"")</f>
        <v>0</v>
      </c>
      <c r="K51" s="384">
        <f>IFERROR('a（自動）計算用'!S49,"")</f>
        <v>613.00436555367423</v>
      </c>
      <c r="L51" s="385">
        <f>IFERROR('a（自動）計算用'!V49,"")</f>
        <v>0.67541371676842243</v>
      </c>
    </row>
    <row r="52" spans="1:12" ht="13.5" customHeight="1">
      <c r="A52" s="382">
        <v>55</v>
      </c>
      <c r="B52" s="383">
        <f>IFERROR('a（自動）計算用'!G50,"")</f>
        <v>26.393136822696903</v>
      </c>
      <c r="C52" s="383">
        <f>IFERROR('a（自動）計算用'!I50,"")</f>
        <v>35.845303961474485</v>
      </c>
      <c r="D52" s="384">
        <f>IFERROR('a（自動）計算用'!F50,"")</f>
        <v>613.00436555367423</v>
      </c>
      <c r="E52" s="385">
        <f>IFERROR('a（自動）計算用'!J50,"")</f>
        <v>1.1903904248826698</v>
      </c>
      <c r="F52" s="383">
        <f>IFERROR('a（自動）計算用'!H50,"")</f>
        <v>729.71452716636975</v>
      </c>
      <c r="G52" s="385">
        <f>IFERROR('a（自動）計算用'!K50,"")</f>
        <v>0.67</v>
      </c>
      <c r="H52" s="384">
        <f>IFERROR('a（自動）計算用'!L50,"")</f>
        <v>0</v>
      </c>
      <c r="I52" s="386">
        <f>IFERROR('a（自動）計算用'!M50,"")</f>
        <v>0</v>
      </c>
      <c r="J52" s="383">
        <f>IFERROR('a（自動）計算用'!O50,"")</f>
        <v>0</v>
      </c>
      <c r="K52" s="384">
        <f>IFERROR('a（自動）計算用'!S50,"")</f>
        <v>613.00436555367423</v>
      </c>
      <c r="L52" s="385">
        <f>IFERROR('a（自動）計算用'!V50,"")</f>
        <v>0.67938874735086574</v>
      </c>
    </row>
    <row r="53" spans="1:12" ht="13.5" customHeight="1">
      <c r="A53" s="382">
        <v>56</v>
      </c>
      <c r="B53" s="383">
        <f>IFERROR('a（自動）計算用'!G51,"")</f>
        <v>26.617303451534312</v>
      </c>
      <c r="C53" s="383">
        <f>IFERROR('a（自動）計算用'!I51,"")</f>
        <v>36.002986946747257</v>
      </c>
      <c r="D53" s="384">
        <f>IFERROR('a（自動）計算用'!F51,"")</f>
        <v>613.00436555367423</v>
      </c>
      <c r="E53" s="385">
        <f>IFERROR('a（自動）計算用'!J51,"")</f>
        <v>1.2104157182997441</v>
      </c>
      <c r="F53" s="383">
        <f>IFERROR('a（自動）計算用'!H51,"")</f>
        <v>741.99011945252948</v>
      </c>
      <c r="G53" s="385">
        <f>IFERROR('a（自動）計算用'!K51,"")</f>
        <v>0.68</v>
      </c>
      <c r="H53" s="384">
        <f>IFERROR('a（自動）計算用'!L51,"")</f>
        <v>0</v>
      </c>
      <c r="I53" s="386">
        <f>IFERROR('a（自動）計算用'!M51,"")</f>
        <v>0</v>
      </c>
      <c r="J53" s="383">
        <f>IFERROR('a（自動）計算用'!O51,"")</f>
        <v>0</v>
      </c>
      <c r="K53" s="384">
        <f>IFERROR('a（自動）計算用'!S51,"")</f>
        <v>613.00436555367423</v>
      </c>
      <c r="L53" s="385">
        <f>IFERROR('a（自動）計算用'!V51,"")</f>
        <v>0.68322324716305838</v>
      </c>
    </row>
    <row r="54" spans="1:12" ht="13.5" customHeight="1">
      <c r="A54" s="382">
        <v>57</v>
      </c>
      <c r="B54" s="383">
        <f>IFERROR('a（自動）計算用'!G52,"")</f>
        <v>26.835438989018716</v>
      </c>
      <c r="C54" s="383">
        <f>IFERROR('a（自動）計算用'!I52,"")</f>
        <v>36.155154679865177</v>
      </c>
      <c r="D54" s="384">
        <f>IFERROR('a（自動）計算用'!F52,"")</f>
        <v>613.00436555367423</v>
      </c>
      <c r="E54" s="385">
        <f>IFERROR('a（自動）計算用'!J52,"")</f>
        <v>1.2300224994981088</v>
      </c>
      <c r="F54" s="383">
        <f>IFERROR('a（自動）計算用'!H52,"")</f>
        <v>754.00916192158274</v>
      </c>
      <c r="G54" s="385">
        <f>IFERROR('a（自動）計算用'!K52,"")</f>
        <v>0.68</v>
      </c>
      <c r="H54" s="384">
        <f>IFERROR('a（自動）計算用'!L52,"")</f>
        <v>0</v>
      </c>
      <c r="I54" s="386">
        <f>IFERROR('a（自動）計算用'!M52,"")</f>
        <v>0</v>
      </c>
      <c r="J54" s="383">
        <f>IFERROR('a（自動）計算用'!O52,"")</f>
        <v>0</v>
      </c>
      <c r="K54" s="384">
        <f>IFERROR('a（自動）計算用'!S52,"")</f>
        <v>613.00436555367423</v>
      </c>
      <c r="L54" s="385">
        <f>IFERROR('a（自動）計算用'!V52,"")</f>
        <v>0.68692308944650393</v>
      </c>
    </row>
    <row r="55" spans="1:12" ht="13.5" customHeight="1">
      <c r="A55" s="382">
        <v>58</v>
      </c>
      <c r="B55" s="383">
        <f>IFERROR('a（自動）計算用'!G53,"")</f>
        <v>27.047706650624068</v>
      </c>
      <c r="C55" s="383">
        <f>IFERROR('a（自動）計算用'!I53,"")</f>
        <v>36.302038625419563</v>
      </c>
      <c r="D55" s="384">
        <f>IFERROR('a（自動）計算用'!F53,"")</f>
        <v>613.00436555367423</v>
      </c>
      <c r="E55" s="385">
        <f>IFERROR('a（自動）計算用'!J53,"")</f>
        <v>1.2492148597293575</v>
      </c>
      <c r="F55" s="383">
        <f>IFERROR('a（自動）計算用'!H53,"")</f>
        <v>765.77416252861701</v>
      </c>
      <c r="G55" s="385">
        <f>IFERROR('a（自動）計算用'!K53,"")</f>
        <v>0.69</v>
      </c>
      <c r="H55" s="384">
        <f>IFERROR('a（自動）計算用'!L53,"")</f>
        <v>0</v>
      </c>
      <c r="I55" s="386">
        <f>IFERROR('a（自動）計算用'!M53,"")</f>
        <v>0</v>
      </c>
      <c r="J55" s="383">
        <f>IFERROR('a（自動）計算用'!O53,"")</f>
        <v>0</v>
      </c>
      <c r="K55" s="384">
        <f>IFERROR('a（自動）計算用'!S53,"")</f>
        <v>613.00436555367423</v>
      </c>
      <c r="L55" s="385">
        <f>IFERROR('a（自動）計算用'!V53,"")</f>
        <v>0.69049386049651496</v>
      </c>
    </row>
    <row r="56" spans="1:12" ht="13.5" customHeight="1">
      <c r="A56" s="382">
        <v>59</v>
      </c>
      <c r="B56" s="383">
        <f>IFERROR('a（自動）計算用'!G54,"")</f>
        <v>27.25426557773557</v>
      </c>
      <c r="C56" s="383">
        <f>IFERROR('a（自動）計算用'!I54,"")</f>
        <v>36.443858465031724</v>
      </c>
      <c r="D56" s="384">
        <f>IFERROR('a（自動）計算用'!F54,"")</f>
        <v>613.00436555367423</v>
      </c>
      <c r="E56" s="385">
        <f>IFERROR('a（自動）計算用'!J54,"")</f>
        <v>1.2679972723285839</v>
      </c>
      <c r="F56" s="383">
        <f>IFERROR('a（自動）計算用'!H54,"")</f>
        <v>777.28786344757305</v>
      </c>
      <c r="G56" s="385">
        <f>IFERROR('a（自動）計算用'!K54,"")</f>
        <v>0.69</v>
      </c>
      <c r="H56" s="384">
        <f>IFERROR('a（自動）計算用'!L54,"")</f>
        <v>0</v>
      </c>
      <c r="I56" s="386">
        <f>IFERROR('a（自動）計算用'!M54,"")</f>
        <v>0</v>
      </c>
      <c r="J56" s="383">
        <f>IFERROR('a（自動）計算用'!O54,"")</f>
        <v>0</v>
      </c>
      <c r="K56" s="384">
        <f>IFERROR('a（自動）計算用'!S54,"")</f>
        <v>613.00436555367423</v>
      </c>
      <c r="L56" s="385">
        <f>IFERROR('a（自動）計算用'!V54,"")</f>
        <v>0.69394087472672206</v>
      </c>
    </row>
    <row r="57" spans="1:12" ht="13.5" customHeight="1">
      <c r="A57" s="382">
        <v>60</v>
      </c>
      <c r="B57" s="383">
        <f>IFERROR('a（自動）計算用'!G55,"")</f>
        <v>27.455270862155562</v>
      </c>
      <c r="C57" s="383">
        <f>IFERROR('a（自動）計算用'!I55,"")</f>
        <v>36.580822789173901</v>
      </c>
      <c r="D57" s="384">
        <f>IFERROR('a（自動）計算用'!F55,"")</f>
        <v>613.00436555367423</v>
      </c>
      <c r="E57" s="385">
        <f>IFERROR('a（自動）計算用'!J55,"")</f>
        <v>1.2863745439266019</v>
      </c>
      <c r="F57" s="383">
        <f>IFERROR('a（自動）計算用'!H55,"")</f>
        <v>788.55321116412358</v>
      </c>
      <c r="G57" s="385">
        <f>IFERROR('a（自動）計算用'!K55,"")</f>
        <v>0.69</v>
      </c>
      <c r="H57" s="384">
        <f>IFERROR('a（自動）計算用'!L55,"")</f>
        <v>0</v>
      </c>
      <c r="I57" s="386">
        <f>IFERROR('a（自動）計算用'!M55,"")</f>
        <v>0</v>
      </c>
      <c r="J57" s="383">
        <f>IFERROR('a（自動）計算用'!O55,"")</f>
        <v>0</v>
      </c>
      <c r="K57" s="384">
        <f>IFERROR('a（自動）計算用'!S55,"")</f>
        <v>613.00436555367423</v>
      </c>
      <c r="L57" s="385">
        <f>IFERROR('a（自動）計算用'!V55,"")</f>
        <v>0.69726918902764656</v>
      </c>
    </row>
    <row r="58" spans="1:12" ht="13.5" customHeight="1">
      <c r="A58" s="382">
        <v>61</v>
      </c>
      <c r="B58" s="383">
        <f>IFERROR('a（自動）計算用'!G56,"")</f>
        <v>27.650873583197519</v>
      </c>
      <c r="C58" s="383">
        <f>IFERROR('a（自動）計算用'!I56,"")</f>
        <v>36.713129745720913</v>
      </c>
      <c r="D58" s="384">
        <f>IFERROR('a（自動）計算用'!F56,"")</f>
        <v>613.00436555367423</v>
      </c>
      <c r="E58" s="385">
        <f>IFERROR('a（自動）計算用'!J56,"")</f>
        <v>1.3043517701727858</v>
      </c>
      <c r="F58" s="383">
        <f>IFERROR('a（自動）計算用'!H56,"")</f>
        <v>799.57332933358043</v>
      </c>
      <c r="G58" s="385">
        <f>IFERROR('a（自動）計算用'!K56,"")</f>
        <v>0.7</v>
      </c>
      <c r="H58" s="384">
        <f>IFERROR('a（自動）計算用'!L56,"")</f>
        <v>0</v>
      </c>
      <c r="I58" s="386">
        <f>IFERROR('a（自動）計算用'!M56,"")</f>
        <v>0</v>
      </c>
      <c r="J58" s="383">
        <f>IFERROR('a（自動）計算用'!O56,"")</f>
        <v>0</v>
      </c>
      <c r="K58" s="384">
        <f>IFERROR('a（自動）計算用'!S56,"")</f>
        <v>613.00436555367423</v>
      </c>
      <c r="L58" s="385">
        <f>IFERROR('a（自動）計算用'!V56,"")</f>
        <v>0.70048361643059642</v>
      </c>
    </row>
    <row r="59" spans="1:12" ht="13.5" customHeight="1">
      <c r="A59" s="382">
        <v>62</v>
      </c>
      <c r="B59" s="383">
        <f>IFERROR('a（自動）計算用'!G57,"")</f>
        <v>27.841220855483183</v>
      </c>
      <c r="C59" s="383">
        <f>IFERROR('a（自動）計算用'!I57,"")</f>
        <v>36.840967647911427</v>
      </c>
      <c r="D59" s="384">
        <f>IFERROR('a（自動）計算用'!F57,"")</f>
        <v>613.00436555367423</v>
      </c>
      <c r="E59" s="385">
        <f>IFERROR('a（自動）計算用'!J57,"")</f>
        <v>1.3219342956030593</v>
      </c>
      <c r="F59" s="383">
        <f>IFERROR('a（自動）計算用'!H57,"")</f>
        <v>810.35149417979665</v>
      </c>
      <c r="G59" s="385">
        <f>IFERROR('a（自動）計算用'!K57,"")</f>
        <v>0.7</v>
      </c>
      <c r="H59" s="384">
        <f>IFERROR('a（自動）計算用'!L57,"")</f>
        <v>0</v>
      </c>
      <c r="I59" s="386">
        <f>IFERROR('a（自動）計算用'!M57,"")</f>
        <v>0</v>
      </c>
      <c r="J59" s="383">
        <f>IFERROR('a（自動）計算用'!O57,"")</f>
        <v>0</v>
      </c>
      <c r="K59" s="384">
        <f>IFERROR('a（自動）計算用'!S57,"")</f>
        <v>613.00436555367423</v>
      </c>
      <c r="L59" s="385">
        <f>IFERROR('a（自動）計算用'!V57,"")</f>
        <v>0.7035887390919684</v>
      </c>
    </row>
    <row r="60" spans="1:12" ht="13.5" customHeight="1">
      <c r="A60" s="382">
        <v>63</v>
      </c>
      <c r="B60" s="383">
        <f>IFERROR('a（自動）計算用'!G58,"")</f>
        <v>28.026455885730172</v>
      </c>
      <c r="C60" s="383">
        <f>IFERROR('a（自動）計算用'!I58,"")</f>
        <v>36.964515544235169</v>
      </c>
      <c r="D60" s="384">
        <f>IFERROR('a（自動）計算用'!F58,"")</f>
        <v>613.00436555367423</v>
      </c>
      <c r="E60" s="385">
        <f>IFERROR('a（自動）計算用'!J58,"")</f>
        <v>1.3391276773084562</v>
      </c>
      <c r="F60" s="383">
        <f>IFERROR('a（自動）計算用'!H58,"")</f>
        <v>820.89111222383553</v>
      </c>
      <c r="G60" s="385">
        <f>IFERROR('a（自動）計算用'!K58,"")</f>
        <v>0.7</v>
      </c>
      <c r="H60" s="384">
        <f>IFERROR('a（自動）計算用'!L58,"")</f>
        <v>0</v>
      </c>
      <c r="I60" s="386">
        <f>IFERROR('a（自動）計算用'!M58,"")</f>
        <v>0</v>
      </c>
      <c r="J60" s="383">
        <f>IFERROR('a（自動）計算用'!O58,"")</f>
        <v>0</v>
      </c>
      <c r="K60" s="384">
        <f>IFERROR('a（自動）計算用'!S58,"")</f>
        <v>613.00436555367423</v>
      </c>
      <c r="L60" s="385">
        <f>IFERROR('a（自動）計算用'!V58,"")</f>
        <v>0.70658892061609324</v>
      </c>
    </row>
    <row r="61" spans="1:12" ht="13.5" customHeight="1">
      <c r="A61" s="382">
        <v>64</v>
      </c>
      <c r="B61" s="383">
        <f>IFERROR('a（自動）計算用'!G59,"")</f>
        <v>28.206718036985855</v>
      </c>
      <c r="C61" s="383">
        <f>IFERROR('a（自動）計算用'!I59,"")</f>
        <v>37.083943752612889</v>
      </c>
      <c r="D61" s="384">
        <f>IFERROR('a（自動）計算用'!F59,"")</f>
        <v>613.00436555367423</v>
      </c>
      <c r="E61" s="385">
        <f>IFERROR('a（自動）計算用'!J59,"")</f>
        <v>1.3559376520812021</v>
      </c>
      <c r="F61" s="383">
        <f>IFERROR('a（自動）計算用'!H59,"")</f>
        <v>831.19570014437591</v>
      </c>
      <c r="G61" s="385">
        <f>IFERROR('a（自動）計算用'!K59,"")</f>
        <v>0.7</v>
      </c>
      <c r="H61" s="384">
        <f>IFERROR('a（自動）計算用'!L59,"")</f>
        <v>0</v>
      </c>
      <c r="I61" s="386">
        <f>IFERROR('a（自動）計算用'!M59,"")</f>
        <v>0</v>
      </c>
      <c r="J61" s="383">
        <f>IFERROR('a（自動）計算用'!O59,"")</f>
        <v>0</v>
      </c>
      <c r="K61" s="384">
        <f>IFERROR('a（自動）計算用'!S59,"")</f>
        <v>613.00436555367423</v>
      </c>
      <c r="L61" s="385">
        <f>IFERROR('a（自動）計算用'!V59,"")</f>
        <v>0.70948831773714205</v>
      </c>
    </row>
    <row r="62" spans="1:12" ht="13.5" customHeight="1">
      <c r="A62" s="382">
        <v>65</v>
      </c>
      <c r="B62" s="383">
        <f>IFERROR('a（自動）計算用'!G60,"")</f>
        <v>28.382142898926077</v>
      </c>
      <c r="C62" s="383">
        <f>IFERROR('a（自動）計算用'!I60,"")</f>
        <v>37.19941436109827</v>
      </c>
      <c r="D62" s="384">
        <f>IFERROR('a（自動）計算用'!F60,"")</f>
        <v>613.00436555367423</v>
      </c>
      <c r="E62" s="385">
        <f>IFERROR('a（自動）計算用'!J60,"")</f>
        <v>1.3723701067371463</v>
      </c>
      <c r="F62" s="383">
        <f>IFERROR('a（自動）計算用'!H60,"")</f>
        <v>841.26886658523256</v>
      </c>
      <c r="G62" s="385">
        <f>IFERROR('a（自動）計算用'!K60,"")</f>
        <v>0.71</v>
      </c>
      <c r="H62" s="384">
        <f>IFERROR('a（自動）計算用'!L60,"")</f>
        <v>0</v>
      </c>
      <c r="I62" s="386">
        <f>IFERROR('a（自動）計算用'!M60,"")</f>
        <v>0</v>
      </c>
      <c r="J62" s="383">
        <f>IFERROR('a（自動）計算用'!O60,"")</f>
        <v>0</v>
      </c>
      <c r="K62" s="384">
        <f>IFERROR('a（自動）計算用'!S60,"")</f>
        <v>613.00436555367423</v>
      </c>
      <c r="L62" s="385">
        <f>IFERROR('a（自動）計算用'!V60,"")</f>
        <v>0.7122908913824274</v>
      </c>
    </row>
    <row r="63" spans="1:12" ht="13.5" customHeight="1">
      <c r="A63" s="382">
        <v>66</v>
      </c>
      <c r="B63" s="383">
        <f>IFERROR('a（自動）計算用'!G61,"")</f>
        <v>28.552862362990862</v>
      </c>
      <c r="C63" s="383">
        <f>IFERROR('a（自動）計算用'!I61,"")</f>
        <v>37.311081697200123</v>
      </c>
      <c r="D63" s="384">
        <f>IFERROR('a（自動）計算用'!F61,"")</f>
        <v>613.00436555367423</v>
      </c>
      <c r="E63" s="385">
        <f>IFERROR('a（自動）計算用'!J61,"")</f>
        <v>1.3884310513348148</v>
      </c>
      <c r="F63" s="383">
        <f>IFERROR('a（自動）計算用'!H61,"")</f>
        <v>851.1142957385191</v>
      </c>
      <c r="G63" s="385">
        <f>IFERROR('a（自動）計算用'!K61,"")</f>
        <v>0.71</v>
      </c>
      <c r="H63" s="384">
        <f>IFERROR('a（自動）計算用'!L61,"")</f>
        <v>0</v>
      </c>
      <c r="I63" s="386">
        <f>IFERROR('a（自動）計算用'!M61,"")</f>
        <v>0</v>
      </c>
      <c r="J63" s="383">
        <f>IFERROR('a（自動）計算用'!O61,"")</f>
        <v>0</v>
      </c>
      <c r="K63" s="384">
        <f>IFERROR('a（自動）計算用'!S61,"")</f>
        <v>613.00436555367423</v>
      </c>
      <c r="L63" s="385">
        <f>IFERROR('a（自動）計算用'!V61,"")</f>
        <v>0.71500041714071005</v>
      </c>
    </row>
    <row r="64" spans="1:12" ht="13.5" customHeight="1">
      <c r="A64" s="382">
        <v>67</v>
      </c>
      <c r="B64" s="383">
        <f>IFERROR('a（自動）計算用'!G62,"")</f>
        <v>28.719004701274081</v>
      </c>
      <c r="C64" s="383">
        <f>IFERROR('a（自動）計算用'!I62,"")</f>
        <v>37.419092767803114</v>
      </c>
      <c r="D64" s="384">
        <f>IFERROR('a（自動）計算用'!F62,"")</f>
        <v>613.00436555367423</v>
      </c>
      <c r="E64" s="385">
        <f>IFERROR('a（自動）計算用'!J62,"")</f>
        <v>1.4041265950325519</v>
      </c>
      <c r="F64" s="383">
        <f>IFERROR('a（自動）計算用'!H62,"")</f>
        <v>860.73573254497035</v>
      </c>
      <c r="G64" s="385">
        <f>IFERROR('a（自動）計算用'!K62,"")</f>
        <v>0.71</v>
      </c>
      <c r="H64" s="384">
        <f>IFERROR('a（自動）計算用'!L62,"")</f>
        <v>0</v>
      </c>
      <c r="I64" s="386">
        <f>IFERROR('a（自動）計算用'!M62,"")</f>
        <v>0</v>
      </c>
      <c r="J64" s="383">
        <f>IFERROR('a（自動）計算用'!O62,"")</f>
        <v>0</v>
      </c>
      <c r="K64" s="384">
        <f>IFERROR('a（自動）計算用'!S62,"")</f>
        <v>613.00436555367423</v>
      </c>
      <c r="L64" s="385">
        <f>IFERROR('a（自動）計算用'!V62,"")</f>
        <v>0.71762049515999071</v>
      </c>
    </row>
    <row r="65" spans="1:12" ht="13.5" customHeight="1">
      <c r="A65" s="382">
        <v>68</v>
      </c>
      <c r="B65" s="383">
        <f>IFERROR('a（自動）計算用'!G63,"")</f>
        <v>28.880694648217556</v>
      </c>
      <c r="C65" s="383">
        <f>IFERROR('a（自動）計算用'!I63,"")</f>
        <v>37.523587671548988</v>
      </c>
      <c r="D65" s="384">
        <f>IFERROR('a（自動）計算用'!F63,"")</f>
        <v>613.00436555367423</v>
      </c>
      <c r="E65" s="385">
        <f>IFERROR('a（自動）計算用'!J63,"")</f>
        <v>1.41946292434541</v>
      </c>
      <c r="F65" s="383">
        <f>IFERROR('a（自動）計算用'!H63,"")</f>
        <v>870.13696936532108</v>
      </c>
      <c r="G65" s="385">
        <f>IFERROR('a（自動）計算用'!K63,"")</f>
        <v>0.72</v>
      </c>
      <c r="H65" s="384">
        <f>IFERROR('a（自動）計算用'!L63,"")</f>
        <v>0</v>
      </c>
      <c r="I65" s="386">
        <f>IFERROR('a（自動）計算用'!M63,"")</f>
        <v>0</v>
      </c>
      <c r="J65" s="383">
        <f>IFERROR('a（自動）計算用'!O63,"")</f>
        <v>0</v>
      </c>
      <c r="K65" s="384">
        <f>IFERROR('a（自動）計算用'!S63,"")</f>
        <v>613.00436555367423</v>
      </c>
      <c r="L65" s="385">
        <f>IFERROR('a（自動）計算用'!V63,"")</f>
        <v>0.72015455949974994</v>
      </c>
    </row>
    <row r="66" spans="1:12" ht="13.5" customHeight="1">
      <c r="A66" s="382">
        <v>69</v>
      </c>
      <c r="B66" s="383">
        <f>IFERROR('a（自動）計算用'!G64,"")</f>
        <v>29.038053484283193</v>
      </c>
      <c r="C66" s="383">
        <f>IFERROR('a（自動）計算用'!I64,"")</f>
        <v>37.624699985432009</v>
      </c>
      <c r="D66" s="384">
        <f>IFERROR('a（自動）計算用'!F64,"")</f>
        <v>613.00436555367423</v>
      </c>
      <c r="E66" s="385">
        <f>IFERROR('a（自動）計算用'!J64,"")</f>
        <v>1.4344462835829075</v>
      </c>
      <c r="F66" s="383">
        <f>IFERROR('a（自動）計算用'!H64,"")</f>
        <v>879.32183398856603</v>
      </c>
      <c r="G66" s="385">
        <f>IFERROR('a（自動）計算用'!K64,"")</f>
        <v>0.72</v>
      </c>
      <c r="H66" s="384">
        <f>IFERROR('a（自動）計算用'!L64,"")</f>
        <v>0</v>
      </c>
      <c r="I66" s="386">
        <f>IFERROR('a（自動）計算用'!M64,"")</f>
        <v>0</v>
      </c>
      <c r="J66" s="383">
        <f>IFERROR('a（自動）計算用'!O64,"")</f>
        <v>0</v>
      </c>
      <c r="K66" s="384">
        <f>IFERROR('a（自動）計算用'!S64,"")</f>
        <v>613.00436555367423</v>
      </c>
      <c r="L66" s="385">
        <f>IFERROR('a（自動）計算用'!V64,"")</f>
        <v>0.72260588696276662</v>
      </c>
    </row>
    <row r="67" spans="1:12" ht="13.5" customHeight="1">
      <c r="A67" s="382">
        <v>70</v>
      </c>
      <c r="B67" s="383">
        <f>IFERROR('a（自動）計算用'!G65,"")</f>
        <v>29.191199120888513</v>
      </c>
      <c r="C67" s="383">
        <f>IFERROR('a（自動）計算用'!I65,"")</f>
        <v>37.722557127258767</v>
      </c>
      <c r="D67" s="384">
        <f>IFERROR('a（自動）計算用'!F65,"")</f>
        <v>613.00436555367423</v>
      </c>
      <c r="E67" s="385">
        <f>IFERROR('a（自動）計算用'!J65,"")</f>
        <v>1.4490829572670652</v>
      </c>
      <c r="F67" s="383">
        <f>IFERROR('a（自動）計算用'!H65,"")</f>
        <v>888.29417885413932</v>
      </c>
      <c r="G67" s="385">
        <f>IFERROR('a（自動）計算用'!K65,"")</f>
        <v>0.72</v>
      </c>
      <c r="H67" s="384">
        <f>IFERROR('a（自動）計算用'!L65,"")</f>
        <v>0</v>
      </c>
      <c r="I67" s="386">
        <f>IFERROR('a（自動）計算用'!M65,"")</f>
        <v>0</v>
      </c>
      <c r="J67" s="383">
        <f>IFERROR('a（自動）計算用'!O65,"")</f>
        <v>0</v>
      </c>
      <c r="K67" s="384">
        <f>IFERROR('a（自動）計算用'!S65,"")</f>
        <v>613.00436555367423</v>
      </c>
      <c r="L67" s="385">
        <f>IFERROR('a（自動）計算用'!V65,"")</f>
        <v>0.72497760543156542</v>
      </c>
    </row>
    <row r="68" spans="1:12" ht="13.5" customHeight="1">
      <c r="A68" s="382">
        <v>71</v>
      </c>
      <c r="B68" s="383">
        <f>IFERROR('a（自動）計算用'!G66,"")</f>
        <v>29.340246185992296</v>
      </c>
      <c r="C68" s="383">
        <f>IFERROR('a（自動）計算用'!I66,"")</f>
        <v>37.817280695524111</v>
      </c>
      <c r="D68" s="384">
        <f>IFERROR('a（自動）計算用'!F66,"")</f>
        <v>613.00436555367423</v>
      </c>
      <c r="E68" s="385">
        <f>IFERROR('a（自動）計算用'!J66,"")</f>
        <v>1.4633792543473936</v>
      </c>
      <c r="F68" s="383">
        <f>IFERROR('a（自動）計算用'!H66,"")</f>
        <v>897.05787137563289</v>
      </c>
      <c r="G68" s="385">
        <f>IFERROR('a（自動）計算用'!K66,"")</f>
        <v>0.72</v>
      </c>
      <c r="H68" s="384">
        <f>IFERROR('a（自動）計算用'!L66,"")</f>
        <v>0</v>
      </c>
      <c r="I68" s="386">
        <f>IFERROR('a（自動）計算用'!M66,"")</f>
        <v>0</v>
      </c>
      <c r="J68" s="383">
        <f>IFERROR('a（自動）計算用'!O66,"")</f>
        <v>0</v>
      </c>
      <c r="K68" s="384">
        <f>IFERROR('a（自動）計算用'!S66,"")</f>
        <v>613.00436555367423</v>
      </c>
      <c r="L68" s="385">
        <f>IFERROR('a（自動）計算用'!V66,"")</f>
        <v>0.72727270173423064</v>
      </c>
    </row>
    <row r="69" spans="1:12" ht="13.5" customHeight="1">
      <c r="A69" s="382">
        <v>72</v>
      </c>
      <c r="B69" s="383">
        <f>IFERROR('a（自動）計算用'!G67,"")</f>
        <v>29.485306109807635</v>
      </c>
      <c r="C69" s="383">
        <f>IFERROR('a（自動）計算用'!I67,"")</f>
        <v>37.908986788160831</v>
      </c>
      <c r="D69" s="384">
        <f>IFERROR('a（自動）計算用'!F67,"")</f>
        <v>613.00436555367423</v>
      </c>
      <c r="E69" s="385">
        <f>IFERROR('a（自動）計算用'!J67,"")</f>
        <v>1.4773414940455449</v>
      </c>
      <c r="F69" s="383">
        <f>IFERROR('a（自動）計算用'!H67,"")</f>
        <v>905.61678526350647</v>
      </c>
      <c r="G69" s="385">
        <f>IFERROR('a（自動）計算用'!K67,"")</f>
        <v>0.72</v>
      </c>
      <c r="H69" s="384">
        <f>IFERROR('a（自動）計算用'!L67,"")</f>
        <v>0</v>
      </c>
      <c r="I69" s="386">
        <f>IFERROR('a（自動）計算用'!M67,"")</f>
        <v>0</v>
      </c>
      <c r="J69" s="383">
        <f>IFERROR('a（自動）計算用'!O67,"")</f>
        <v>0</v>
      </c>
      <c r="K69" s="384">
        <f>IFERROR('a（自動）計算用'!S67,"")</f>
        <v>613.00436555367423</v>
      </c>
      <c r="L69" s="385">
        <f>IFERROR('a（自動）計算用'!V67,"")</f>
        <v>0.72949402906385252</v>
      </c>
    </row>
    <row r="70" spans="1:12" ht="13.5" customHeight="1">
      <c r="A70" s="382">
        <v>73</v>
      </c>
      <c r="B70" s="383">
        <f>IFERROR('a（自動）計算用'!G68,"")</f>
        <v>29.62648721020097</v>
      </c>
      <c r="C70" s="383">
        <f>IFERROR('a（自動）計算用'!I68,"")</f>
        <v>37.997786301533026</v>
      </c>
      <c r="D70" s="384">
        <f>IFERROR('a（自動）計算用'!F68,"")</f>
        <v>613.00436555367423</v>
      </c>
      <c r="E70" s="385">
        <f>IFERROR('a（自動）計算用'!J68,"")</f>
        <v>1.4909759931773459</v>
      </c>
      <c r="F70" s="383">
        <f>IFERROR('a（自動）計算用'!H68,"")</f>
        <v>913.97479275343824</v>
      </c>
      <c r="G70" s="385">
        <f>IFERROR('a（自動）計算用'!K68,"")</f>
        <v>0.73</v>
      </c>
      <c r="H70" s="384">
        <f>IFERROR('a（自動）計算用'!L68,"")</f>
        <v>0</v>
      </c>
      <c r="I70" s="386">
        <f>IFERROR('a（自動）計算用'!M68,"")</f>
        <v>0</v>
      </c>
      <c r="J70" s="383">
        <f>IFERROR('a（自動）計算用'!O68,"")</f>
        <v>0</v>
      </c>
      <c r="K70" s="384">
        <f>IFERROR('a（自動）計算用'!S68,"")</f>
        <v>613.00436555367423</v>
      </c>
      <c r="L70" s="385">
        <f>IFERROR('a（自動）計算用'!V68,"")</f>
        <v>0.73164431397525254</v>
      </c>
    </row>
    <row r="71" spans="1:12" ht="13.5" customHeight="1">
      <c r="A71" s="382">
        <v>74</v>
      </c>
      <c r="B71" s="383">
        <f>IFERROR('a（自動）計算用'!G69,"")</f>
        <v>29.763894777407348</v>
      </c>
      <c r="C71" s="383">
        <f>IFERROR('a（自動）計算用'!I69,"")</f>
        <v>38.083785210957402</v>
      </c>
      <c r="D71" s="384">
        <f>IFERROR('a（自動）計算用'!F69,"")</f>
        <v>613.00436555367423</v>
      </c>
      <c r="E71" s="385">
        <f>IFERROR('a（自動）計算用'!J69,"")</f>
        <v>1.5042890548136831</v>
      </c>
      <c r="F71" s="383">
        <f>IFERROR('a（自動）計算用'!H69,"")</f>
        <v>922.13575765539815</v>
      </c>
      <c r="G71" s="385">
        <f>IFERROR('a（自動）計算用'!K69,"")</f>
        <v>0.73</v>
      </c>
      <c r="H71" s="384">
        <f>IFERROR('a（自動）計算用'!L69,"")</f>
        <v>0</v>
      </c>
      <c r="I71" s="386">
        <f>IFERROR('a（自動）計算用'!M69,"")</f>
        <v>0</v>
      </c>
      <c r="J71" s="383">
        <f>IFERROR('a（自動）計算用'!O69,"")</f>
        <v>0</v>
      </c>
      <c r="K71" s="384">
        <f>IFERROR('a（自動）計算用'!S69,"")</f>
        <v>613.00436555367423</v>
      </c>
      <c r="L71" s="385">
        <f>IFERROR('a（自動）計算用'!V69,"")</f>
        <v>0.73372616298191784</v>
      </c>
    </row>
    <row r="72" spans="1:12" ht="13.5" customHeight="1">
      <c r="A72" s="382">
        <v>75</v>
      </c>
      <c r="B72" s="383">
        <f>IFERROR('a（自動）計算用'!G70,"")</f>
        <v>29.897631157755349</v>
      </c>
      <c r="C72" s="383">
        <f>IFERROR('a（自動）計算用'!I70,"")</f>
        <v>38.167084833956942</v>
      </c>
      <c r="D72" s="384">
        <f>IFERROR('a（自動）計算用'!F70,"")</f>
        <v>613.00436555367423</v>
      </c>
      <c r="E72" s="385">
        <f>IFERROR('a（自動）計算用'!J70,"")</f>
        <v>1.5172869581544381</v>
      </c>
      <c r="F72" s="383">
        <f>IFERROR('a（自動）計算用'!H70,"")</f>
        <v>930.10352914632563</v>
      </c>
      <c r="G72" s="385">
        <f>IFERROR('a（自動）計算用'!K70,"")</f>
        <v>0.73</v>
      </c>
      <c r="H72" s="384">
        <f>IFERROR('a（自動）計算用'!L70,"")</f>
        <v>0</v>
      </c>
      <c r="I72" s="386">
        <f>IFERROR('a（自動）計算用'!M70,"")</f>
        <v>0</v>
      </c>
      <c r="J72" s="383">
        <f>IFERROR('a（自動）計算用'!O70,"")</f>
        <v>0</v>
      </c>
      <c r="K72" s="384">
        <f>IFERROR('a（自動）計算用'!S70,"")</f>
        <v>613.00436555367423</v>
      </c>
      <c r="L72" s="385">
        <f>IFERROR('a（自動）計算用'!V70,"")</f>
        <v>0.73574206877526271</v>
      </c>
    </row>
    <row r="73" spans="1:12" ht="13.5" customHeight="1">
      <c r="A73" s="382">
        <v>76</v>
      </c>
      <c r="B73" s="383">
        <f>IFERROR('a（自動）計算用'!G71,"")</f>
        <v>30.027795836151071</v>
      </c>
      <c r="C73" s="383">
        <f>IFERROR('a（自動）計算用'!I71,"")</f>
        <v>38.247782077375518</v>
      </c>
      <c r="D73" s="384">
        <f>IFERROR('a（自動）計算用'!F71,"")</f>
        <v>613.00436555367423</v>
      </c>
      <c r="E73" s="385">
        <f>IFERROR('a（自動）計算用'!J71,"")</f>
        <v>1.5299759495013459</v>
      </c>
      <c r="F73" s="383">
        <f>IFERROR('a（自動）計算用'!H71,"")</f>
        <v>937.88193623645282</v>
      </c>
      <c r="G73" s="385">
        <f>IFERROR('a（自動）計算用'!K71,"")</f>
        <v>0.73</v>
      </c>
      <c r="H73" s="384">
        <f>IFERROR('a（自動）計算用'!L71,"")</f>
        <v>0</v>
      </c>
      <c r="I73" s="386">
        <f>IFERROR('a（自動）計算用'!M71,"")</f>
        <v>0</v>
      </c>
      <c r="J73" s="383">
        <f>IFERROR('a（自動）計算用'!O71,"")</f>
        <v>0</v>
      </c>
      <c r="K73" s="384">
        <f>IFERROR('a（自動）計算用'!S71,"")</f>
        <v>613.00436555367423</v>
      </c>
      <c r="L73" s="385">
        <f>IFERROR('a（自動）計算用'!V71,"")</f>
        <v>0.73769441608748665</v>
      </c>
    </row>
    <row r="74" spans="1:12" ht="13.5" customHeight="1">
      <c r="A74" s="382">
        <v>77</v>
      </c>
      <c r="B74" s="383">
        <f>IFERROR('a（自動）計算用'!G72,"")</f>
        <v>30.154485517118435</v>
      </c>
      <c r="C74" s="383">
        <f>IFERROR('a（自動）計算用'!I72,"")</f>
        <v>38.325969669409659</v>
      </c>
      <c r="D74" s="384">
        <f>IFERROR('a（自動）計算用'!F72,"")</f>
        <v>613.00436555367423</v>
      </c>
      <c r="E74" s="385">
        <f>IFERROR('a（自動）計算用'!J72,"")</f>
        <v>1.5423622342262884</v>
      </c>
      <c r="F74" s="383">
        <f>IFERROR('a（自動）計算用'!H72,"")</f>
        <v>945.47478284583337</v>
      </c>
      <c r="G74" s="385">
        <f>IFERROR('a（自動）計算用'!K72,"")</f>
        <v>0.73</v>
      </c>
      <c r="H74" s="384">
        <f>IFERROR('a（自動）計算用'!L72,"")</f>
        <v>0</v>
      </c>
      <c r="I74" s="386">
        <f>IFERROR('a（自動）計算用'!M72,"")</f>
        <v>0</v>
      </c>
      <c r="J74" s="383">
        <f>IFERROR('a（自動）計算用'!O72,"")</f>
        <v>0</v>
      </c>
      <c r="K74" s="384">
        <f>IFERROR('a（自動）計算用'!S72,"")</f>
        <v>613.00436555367423</v>
      </c>
      <c r="L74" s="385">
        <f>IFERROR('a（自動）計算用'!V72,"")</f>
        <v>0.73958548721838546</v>
      </c>
    </row>
    <row r="75" spans="1:12" ht="13.5" customHeight="1">
      <c r="A75" s="382">
        <v>78</v>
      </c>
      <c r="B75" s="383">
        <f>IFERROR('a（自動）計算用'!G73,"")</f>
        <v>30.277794204235548</v>
      </c>
      <c r="C75" s="383">
        <f>IFERROR('a（自動）計算用'!I73,"")</f>
        <v>38.401736377546001</v>
      </c>
      <c r="D75" s="384">
        <f>IFERROR('a（自動）計算用'!F73,"")</f>
        <v>613.00436555367423</v>
      </c>
      <c r="E75" s="385">
        <f>IFERROR('a（自動）計算用'!J73,"")</f>
        <v>1.5544519696412995</v>
      </c>
      <c r="F75" s="383">
        <f>IFERROR('a（自動）計算用'!H73,"")</f>
        <v>952.88584343362413</v>
      </c>
      <c r="G75" s="385">
        <f>IFERROR('a（自動）計算用'!K73,"")</f>
        <v>0.74</v>
      </c>
      <c r="H75" s="384">
        <f>IFERROR('a（自動）計算用'!L73,"")</f>
        <v>0</v>
      </c>
      <c r="I75" s="386">
        <f>IFERROR('a（自動）計算用'!M73,"")</f>
        <v>0</v>
      </c>
      <c r="J75" s="383">
        <f>IFERROR('a（自動）計算用'!O73,"")</f>
        <v>0</v>
      </c>
      <c r="K75" s="384">
        <f>IFERROR('a（自動）計算用'!S73,"")</f>
        <v>613.00436555367423</v>
      </c>
      <c r="L75" s="385">
        <f>IFERROR('a（自動）計算用'!V73,"")</f>
        <v>0.74141746724557056</v>
      </c>
    </row>
    <row r="76" spans="1:12" ht="13.5" customHeight="1">
      <c r="A76" s="382">
        <v>79</v>
      </c>
      <c r="B76" s="383">
        <f>IFERROR('a（自動）計算用'!G74,"")</f>
        <v>30.397813277842882</v>
      </c>
      <c r="C76" s="383">
        <f>IFERROR('a（自動）計算用'!I74,"")</f>
        <v>38.475167213327971</v>
      </c>
      <c r="D76" s="384">
        <f>IFERROR('a（自動）計算用'!F74,"")</f>
        <v>613.00436555367423</v>
      </c>
      <c r="E76" s="385">
        <f>IFERROR('a（自動）計算用'!J74,"")</f>
        <v>1.5662512586853545</v>
      </c>
      <c r="F76" s="383">
        <f>IFERROR('a（自動）計算用'!H74,"")</f>
        <v>960.11885912805951</v>
      </c>
      <c r="G76" s="385">
        <f>IFERROR('a（自動）計算用'!K74,"")</f>
        <v>0.74</v>
      </c>
      <c r="H76" s="384">
        <f>IFERROR('a（自動）計算用'!L74,"")</f>
        <v>0</v>
      </c>
      <c r="I76" s="386">
        <f>IFERROR('a（自動）計算用'!M74,"")</f>
        <v>0</v>
      </c>
      <c r="J76" s="383">
        <f>IFERROR('a（自動）計算用'!O74,"")</f>
        <v>0</v>
      </c>
      <c r="K76" s="384">
        <f>IFERROR('a（自動）計算用'!S74,"")</f>
        <v>613.00436555367423</v>
      </c>
      <c r="L76" s="385">
        <f>IFERROR('a（自動）計算用'!V74,"")</f>
        <v>0.74319244893660497</v>
      </c>
    </row>
    <row r="77" spans="1:12" ht="13.5" customHeight="1">
      <c r="A77" s="382">
        <v>80</v>
      </c>
      <c r="B77" s="383">
        <f>IFERROR('a（自動）計算用'!G75,"")</f>
        <v>30.514631570930302</v>
      </c>
      <c r="C77" s="383">
        <f>IFERROR('a（自動）計算用'!I75,"")</f>
        <v>38.546343624815997</v>
      </c>
      <c r="D77" s="384">
        <f>IFERROR('a（自動）計算用'!F75,"")</f>
        <v>613.00436555367423</v>
      </c>
      <c r="E77" s="385">
        <f>IFERROR('a（自動）計算用'!J75,"")</f>
        <v>1.5777661443511548</v>
      </c>
      <c r="F77" s="383">
        <f>IFERROR('a（自動）計算用'!H75,"")</f>
        <v>967.17753431004644</v>
      </c>
      <c r="G77" s="385">
        <f>IFERROR('a（自動）計算用'!K75,"")</f>
        <v>0.74</v>
      </c>
      <c r="H77" s="384">
        <f>IFERROR('a（自動）計算用'!L75,"")</f>
        <v>0</v>
      </c>
      <c r="I77" s="386">
        <f>IFERROR('a（自動）計算用'!M75,"")</f>
        <v>0</v>
      </c>
      <c r="J77" s="383">
        <f>IFERROR('a（自動）計算用'!O75,"")</f>
        <v>0</v>
      </c>
      <c r="K77" s="384">
        <f>IFERROR('a（自動）計算用'!S75,"")</f>
        <v>613.00436555367423</v>
      </c>
      <c r="L77" s="385">
        <f>IFERROR('a（自動）計算用'!V75,"")</f>
        <v>0.74491243738065582</v>
      </c>
    </row>
    <row r="78" spans="1:12" ht="13.5" customHeight="1">
      <c r="A78" s="382">
        <v>81</v>
      </c>
      <c r="B78" s="383">
        <f>IFERROR('a（自動）計算用'!G76,"")</f>
        <v>30.628335443136372</v>
      </c>
      <c r="C78" s="383">
        <f>IFERROR('a（自動）計算用'!I76,"")</f>
        <v>38.615343677546612</v>
      </c>
      <c r="D78" s="384">
        <f>IFERROR('a（自動）計算用'!F76,"")</f>
        <v>613.00436555367423</v>
      </c>
      <c r="E78" s="385">
        <f>IFERROR('a（自動）計算用'!J76,"")</f>
        <v>1.5890026047822861</v>
      </c>
      <c r="F78" s="383">
        <f>IFERROR('a（自動）計算用'!H76,"")</f>
        <v>974.06553360770101</v>
      </c>
      <c r="G78" s="385">
        <f>IFERROR('a（自動）計算用'!K76,"")</f>
        <v>0.74</v>
      </c>
      <c r="H78" s="384">
        <f>IFERROR('a（自動）計算用'!L76,"")</f>
        <v>0</v>
      </c>
      <c r="I78" s="386">
        <f>IFERROR('a（自動）計算用'!M76,"")</f>
        <v>0</v>
      </c>
      <c r="J78" s="383">
        <f>IFERROR('a（自動）計算用'!O76,"")</f>
        <v>0</v>
      </c>
      <c r="K78" s="384">
        <f>IFERROR('a（自動）計算用'!S76,"")</f>
        <v>613.00436555367423</v>
      </c>
      <c r="L78" s="385">
        <f>IFERROR('a（自動）計算用'!V76,"")</f>
        <v>0.74657935435632816</v>
      </c>
    </row>
    <row r="79" spans="1:12" ht="13.5" customHeight="1">
      <c r="A79" s="382">
        <v>82</v>
      </c>
      <c r="B79" s="383">
        <f>IFERROR('a（自動）計算用'!G77,"")</f>
        <v>30.739008852816088</v>
      </c>
      <c r="C79" s="383">
        <f>IFERROR('a（自動）計算用'!I77,"")</f>
        <v>38.682242224743952</v>
      </c>
      <c r="D79" s="384">
        <f>IFERROR('a（自動）計算用'!F77,"")</f>
        <v>613.00436555367423</v>
      </c>
      <c r="E79" s="385">
        <f>IFERROR('a（自動）計算用'!J77,"")</f>
        <v>1.599966548977841</v>
      </c>
      <c r="F79" s="383">
        <f>IFERROR('a（自動）計算用'!H77,"")</f>
        <v>980.786479263263</v>
      </c>
      <c r="G79" s="385">
        <f>IFERROR('a（自動）計算用'!K77,"")</f>
        <v>0.74</v>
      </c>
      <c r="H79" s="384">
        <f>IFERROR('a（自動）計算用'!L77,"")</f>
        <v>0</v>
      </c>
      <c r="I79" s="386">
        <f>IFERROR('a（自動）計算用'!M77,"")</f>
        <v>0</v>
      </c>
      <c r="J79" s="383">
        <f>IFERROR('a（自動）計算用'!O77,"")</f>
        <v>0</v>
      </c>
      <c r="K79" s="384">
        <f>IFERROR('a（自動）計算用'!S77,"")</f>
        <v>613.00436555367423</v>
      </c>
      <c r="L79" s="385">
        <f>IFERROR('a（自動）計算用'!V77,"")</f>
        <v>0.74819504245147095</v>
      </c>
    </row>
    <row r="80" spans="1:12" ht="13.5" customHeight="1">
      <c r="A80" s="382">
        <v>83</v>
      </c>
      <c r="B80" s="383">
        <f>IFERROR('a（自動）計算用'!G78,"")</f>
        <v>30.846733427152206</v>
      </c>
      <c r="C80" s="383">
        <f>IFERROR('a（自動）計算用'!I78,"")</f>
        <v>38.74711106748596</v>
      </c>
      <c r="D80" s="384">
        <f>IFERROR('a（自動）計算用'!F78,"")</f>
        <v>613.00436555367423</v>
      </c>
      <c r="E80" s="385">
        <f>IFERROR('a（自動）計算用'!J78,"")</f>
        <v>1.6106638130475337</v>
      </c>
      <c r="F80" s="383">
        <f>IFERROR('a（自動）計算用'!H78,"")</f>
        <v>987.34394883746518</v>
      </c>
      <c r="G80" s="385">
        <f>IFERROR('a（自動）計算用'!K78,"")</f>
        <v>0.74</v>
      </c>
      <c r="H80" s="384">
        <f>IFERROR('a（自動）計算用'!L78,"")</f>
        <v>0</v>
      </c>
      <c r="I80" s="386">
        <f>IFERROR('a（自動）計算用'!M78,"")</f>
        <v>0</v>
      </c>
      <c r="J80" s="383">
        <f>IFERROR('a（自動）計算用'!O78,"")</f>
        <v>0</v>
      </c>
      <c r="K80" s="384">
        <f>IFERROR('a（自動）計算用'!S78,"")</f>
        <v>613.00436555367423</v>
      </c>
      <c r="L80" s="385">
        <f>IFERROR('a（自動）計算用'!V78,"")</f>
        <v>0.7497612689498635</v>
      </c>
    </row>
    <row r="81" spans="1:12" ht="13.5" customHeight="1">
      <c r="A81" s="382">
        <v>84</v>
      </c>
      <c r="B81" s="383">
        <f>IFERROR('a（自動）計算用'!G79,"")</f>
        <v>30.951588530301056</v>
      </c>
      <c r="C81" s="383">
        <f>IFERROR('a（自動）計算用'!I79,"")</f>
        <v>38.810019105480187</v>
      </c>
      <c r="D81" s="384">
        <f>IFERROR('a（自動）計算用'!F79,"")</f>
        <v>613.00436555367423</v>
      </c>
      <c r="E81" s="385">
        <f>IFERROR('a（自動）計算用'!J79,"")</f>
        <v>1.6211001569657046</v>
      </c>
      <c r="F81" s="383">
        <f>IFERROR('a（自動）計算用'!H79,"")</f>
        <v>993.7414732197235</v>
      </c>
      <c r="G81" s="385">
        <f>IFERROR('a（自動）計算用'!K79,"")</f>
        <v>0.75</v>
      </c>
      <c r="H81" s="384">
        <f>IFERROR('a（自動）計算用'!L79,"")</f>
        <v>160</v>
      </c>
      <c r="I81" s="386">
        <f>IFERROR('a（自動）計算用'!M79,"")</f>
        <v>0.26100956043842483</v>
      </c>
      <c r="J81" s="383">
        <f>IFERROR('a（自動）計算用'!O79,"")</f>
        <v>134.1855237130867</v>
      </c>
      <c r="K81" s="384">
        <f>IFERROR('a（自動）計算用'!S79,"")</f>
        <v>453.00436555367423</v>
      </c>
      <c r="L81" s="385">
        <f>IFERROR('a（自動）計算用'!V79,"")</f>
        <v>0.64983396450404562</v>
      </c>
    </row>
    <row r="82" spans="1:12" ht="13.5" customHeight="1">
      <c r="A82" s="382">
        <v>85</v>
      </c>
      <c r="B82" s="383">
        <f>IFERROR('a（自動）計算用'!G80,"")</f>
        <v>31.053651329577239</v>
      </c>
      <c r="C82" s="383">
        <f>IFERROR('a（自動）計算用'!I80,"")</f>
        <v>42.711905271695571</v>
      </c>
      <c r="D82" s="384">
        <f>IFERROR('a（自動）計算用'!F80,"")</f>
        <v>453.00436555367423</v>
      </c>
      <c r="E82" s="385">
        <f>IFERROR('a（自動）計算用'!J80,"")</f>
        <v>1.9100110498234746</v>
      </c>
      <c r="F82" s="383">
        <f>IFERROR('a（自動）計算用'!H80,"")</f>
        <v>865.24334382579036</v>
      </c>
      <c r="G82" s="385">
        <f>IFERROR('a（自動）計算用'!K80,"")</f>
        <v>0.65</v>
      </c>
      <c r="H82" s="384">
        <f>IFERROR('a（自動）計算用'!L80,"")</f>
        <v>0</v>
      </c>
      <c r="I82" s="386">
        <f>IFERROR('a（自動）計算用'!M80,"")</f>
        <v>0</v>
      </c>
      <c r="J82" s="383">
        <f>IFERROR('a（自動）計算用'!O80,"")</f>
        <v>0</v>
      </c>
      <c r="K82" s="384">
        <f>IFERROR('a（自動）計算用'!S80,"")</f>
        <v>453.00436555367423</v>
      </c>
      <c r="L82" s="385">
        <f>IFERROR('a（自動）計算用'!V80,"")</f>
        <v>0.65132507762060143</v>
      </c>
    </row>
    <row r="83" spans="1:12" ht="13.5" customHeight="1">
      <c r="A83" s="382">
        <v>86</v>
      </c>
      <c r="B83" s="383">
        <f>IFERROR('a（自動）計算用'!G81,"")</f>
        <v>31.152996859692191</v>
      </c>
      <c r="C83" s="383">
        <f>IFERROR('a（自動）計算用'!I81,"")</f>
        <v>42.784315522903128</v>
      </c>
      <c r="D83" s="384">
        <f>IFERROR('a（自動）計算用'!F81,"")</f>
        <v>453.00436555367423</v>
      </c>
      <c r="E83" s="385">
        <f>IFERROR('a（自動）計算用'!J81,"")</f>
        <v>1.9222624294348925</v>
      </c>
      <c r="F83" s="383">
        <f>IFERROR('a（自動）計算用'!H81,"")</f>
        <v>870.79327227381793</v>
      </c>
      <c r="G83" s="385">
        <f>IFERROR('a（自動）計算用'!K81,"")</f>
        <v>0.65</v>
      </c>
      <c r="H83" s="384">
        <f>IFERROR('a（自動）計算用'!L81,"")</f>
        <v>0</v>
      </c>
      <c r="I83" s="386">
        <f>IFERROR('a（自動）計算用'!M81,"")</f>
        <v>0</v>
      </c>
      <c r="J83" s="383">
        <f>IFERROR('a（自動）計算用'!O81,"")</f>
        <v>0</v>
      </c>
      <c r="K83" s="384">
        <f>IFERROR('a（自動）計算用'!S81,"")</f>
        <v>453.00436555367423</v>
      </c>
      <c r="L83" s="385">
        <f>IFERROR('a（自動）計算用'!V81,"")</f>
        <v>0.6527719980717217</v>
      </c>
    </row>
    <row r="84" spans="1:12" ht="13.5" customHeight="1">
      <c r="A84" s="382">
        <v>87</v>
      </c>
      <c r="B84" s="383">
        <f>IFERROR('a（自動）計算用'!G82,"")</f>
        <v>31.249698085070811</v>
      </c>
      <c r="C84" s="383">
        <f>IFERROR('a（自動）計算用'!I82,"")</f>
        <v>42.854583773765853</v>
      </c>
      <c r="D84" s="384">
        <f>IFERROR('a（自動）計算用'!F82,"")</f>
        <v>453.00436555367423</v>
      </c>
      <c r="E84" s="385">
        <f>IFERROR('a（自動）計算用'!J82,"")</f>
        <v>1.9342168103684365</v>
      </c>
      <c r="F84" s="383">
        <f>IFERROR('a（自動）計算用'!H82,"")</f>
        <v>876.20865902420496</v>
      </c>
      <c r="G84" s="385">
        <f>IFERROR('a（自動）計算用'!K82,"")</f>
        <v>0.65</v>
      </c>
      <c r="H84" s="384">
        <f>IFERROR('a（自動）計算用'!L82,"")</f>
        <v>0</v>
      </c>
      <c r="I84" s="386">
        <f>IFERROR('a（自動）計算用'!M82,"")</f>
        <v>0</v>
      </c>
      <c r="J84" s="383">
        <f>IFERROR('a（自動）計算用'!O82,"")</f>
        <v>0</v>
      </c>
      <c r="K84" s="384">
        <f>IFERROR('a（自動）計算用'!S82,"")</f>
        <v>453.00436555367423</v>
      </c>
      <c r="L84" s="385">
        <f>IFERROR('a（自動）計算用'!V82,"")</f>
        <v>0.65417616126695755</v>
      </c>
    </row>
    <row r="85" spans="1:12" ht="13.5" customHeight="1">
      <c r="A85" s="382">
        <v>88</v>
      </c>
      <c r="B85" s="383">
        <f>IFERROR('a（自動）計算用'!G83,"")</f>
        <v>31.34382596027713</v>
      </c>
      <c r="C85" s="383">
        <f>IFERROR('a（自動）計算用'!I83,"")</f>
        <v>42.922779645994829</v>
      </c>
      <c r="D85" s="384">
        <f>IFERROR('a（自動）計算用'!F83,"")</f>
        <v>453.00436555367423</v>
      </c>
      <c r="E85" s="385">
        <f>IFERROR('a（自動）計算用'!J83,"")</f>
        <v>1.9458805642318222</v>
      </c>
      <c r="F85" s="383">
        <f>IFERROR('a（自動）計算用'!H83,"")</f>
        <v>881.49239044306228</v>
      </c>
      <c r="G85" s="385">
        <f>IFERROR('a（自動）計算用'!K83,"")</f>
        <v>0.65</v>
      </c>
      <c r="H85" s="384">
        <f>IFERROR('a（自動）計算用'!L83,"")</f>
        <v>0</v>
      </c>
      <c r="I85" s="386">
        <f>IFERROR('a（自動）計算用'!M83,"")</f>
        <v>0</v>
      </c>
      <c r="J85" s="383">
        <f>IFERROR('a（自動）計算用'!O83,"")</f>
        <v>0</v>
      </c>
      <c r="K85" s="384">
        <f>IFERROR('a（自動）計算用'!S83,"")</f>
        <v>453.00436555367423</v>
      </c>
      <c r="L85" s="385">
        <f>IFERROR('a（自動）計算用'!V83,"")</f>
        <v>0.65553894911890875</v>
      </c>
    </row>
    <row r="86" spans="1:12" ht="13.5" customHeight="1">
      <c r="A86" s="382">
        <v>89</v>
      </c>
      <c r="B86" s="383">
        <f>IFERROR('a（自動）計算用'!G84,"")</f>
        <v>31.435449488585853</v>
      </c>
      <c r="C86" s="383">
        <f>IFERROR('a（自動）計算用'!I84,"")</f>
        <v>42.988970141371823</v>
      </c>
      <c r="D86" s="384">
        <f>IFERROR('a（自動）計算用'!F84,"")</f>
        <v>453.00436555367423</v>
      </c>
      <c r="E86" s="385">
        <f>IFERROR('a（自動）計算用'!J84,"")</f>
        <v>1.9572599762851397</v>
      </c>
      <c r="F86" s="383">
        <f>IFERROR('a（自動）計算用'!H84,"")</f>
        <v>886.64731378064914</v>
      </c>
      <c r="G86" s="385">
        <f>IFERROR('a（自動）計算用'!K84,"")</f>
        <v>0.65</v>
      </c>
      <c r="H86" s="384">
        <f>IFERROR('a（自動）計算用'!L84,"")</f>
        <v>0</v>
      </c>
      <c r="I86" s="386">
        <f>IFERROR('a（自動）計算用'!M84,"")</f>
        <v>0</v>
      </c>
      <c r="J86" s="383">
        <f>IFERROR('a（自動）計算用'!O84,"")</f>
        <v>0</v>
      </c>
      <c r="K86" s="384">
        <f>IFERROR('a（自動）計算用'!S84,"")</f>
        <v>453.00436555367423</v>
      </c>
      <c r="L86" s="385">
        <f>IFERROR('a（自動）計算用'!V84,"")</f>
        <v>0.65686169239313574</v>
      </c>
    </row>
    <row r="87" spans="1:12" ht="13.5" customHeight="1">
      <c r="A87" s="382">
        <v>90</v>
      </c>
      <c r="B87" s="383">
        <f>IFERROR('a（自動）計算用'!G85,"")</f>
        <v>31.52463577874099</v>
      </c>
      <c r="C87" s="383">
        <f>IFERROR('a（自動）計算用'!I85,"")</f>
        <v>43.053219760071975</v>
      </c>
      <c r="D87" s="384">
        <f>IFERROR('a（自動）計算用'!F85,"")</f>
        <v>453.00436555367423</v>
      </c>
      <c r="E87" s="385">
        <f>IFERROR('a（自動）計算用'!J85,"")</f>
        <v>1.9683612429571771</v>
      </c>
      <c r="F87" s="383">
        <f>IFERROR('a（自動）計算用'!H85,"")</f>
        <v>891.6762360462576</v>
      </c>
      <c r="G87" s="385">
        <f>IFERROR('a（自動）計算用'!K85,"")</f>
        <v>0.65</v>
      </c>
      <c r="H87" s="384">
        <f>IFERROR('a（自動）計算用'!L85,"")</f>
        <v>0</v>
      </c>
      <c r="I87" s="386">
        <f>IFERROR('a（自動）計算用'!M85,"")</f>
        <v>0</v>
      </c>
      <c r="J87" s="383">
        <f>IFERROR('a（自動）計算用'!O85,"")</f>
        <v>0</v>
      </c>
      <c r="K87" s="384">
        <f>IFERROR('a（自動）計算用'!S85,"")</f>
        <v>453.00436555367423</v>
      </c>
      <c r="L87" s="385">
        <f>IFERROR('a（自動）計算用'!V85,"")</f>
        <v>0.65814567293860682</v>
      </c>
    </row>
    <row r="88" spans="1:12" ht="13.5" customHeight="1">
      <c r="A88" s="382">
        <v>91</v>
      </c>
      <c r="B88" s="383">
        <f>IFERROR('a（自動）計算用'!G86,"")</f>
        <v>31.611450099945927</v>
      </c>
      <c r="C88" s="383">
        <f>IFERROR('a（自動）計算用'!I86,"")</f>
        <v>43.115590612630911</v>
      </c>
      <c r="D88" s="384">
        <f>IFERROR('a（自動）計算用'!F86,"")</f>
        <v>453.00436555367423</v>
      </c>
      <c r="E88" s="385">
        <f>IFERROR('a（自動）計算用'!J86,"")</f>
        <v>1.9791904697314067</v>
      </c>
      <c r="F88" s="383">
        <f>IFERROR('a（自動）計算用'!H86,"")</f>
        <v>896.58192305055434</v>
      </c>
      <c r="G88" s="385">
        <f>IFERROR('a（自動）計算用'!K86,"")</f>
        <v>0.65</v>
      </c>
      <c r="H88" s="384">
        <f>IFERROR('a（自動）計算用'!L86,"")</f>
        <v>0</v>
      </c>
      <c r="I88" s="386">
        <f>IFERROR('a（自動）計算用'!M86,"")</f>
        <v>0</v>
      </c>
      <c r="J88" s="383">
        <f>IFERROR('a（自動）計算用'!O86,"")</f>
        <v>0</v>
      </c>
      <c r="K88" s="384">
        <f>IFERROR('a（自動）計算用'!S86,"")</f>
        <v>453.00436555367423</v>
      </c>
      <c r="L88" s="385">
        <f>IFERROR('a（自動）計算用'!V86,"")</f>
        <v>0.65939212580528206</v>
      </c>
    </row>
    <row r="89" spans="1:12" ht="13.5" customHeight="1">
      <c r="A89" s="382">
        <v>92</v>
      </c>
      <c r="B89" s="383">
        <f>IFERROR('a（自動）計算用'!G87,"")</f>
        <v>31.695955935131838</v>
      </c>
      <c r="C89" s="383">
        <f>IFERROR('a（自動）計算用'!I87,"")</f>
        <v>43.176142525943419</v>
      </c>
      <c r="D89" s="384">
        <f>IFERROR('a（自動）計算用'!F87,"")</f>
        <v>453.00436555367423</v>
      </c>
      <c r="E89" s="385">
        <f>IFERROR('a（自動）計算用'!J87,"")</f>
        <v>1.9897536693695488</v>
      </c>
      <c r="F89" s="383">
        <f>IFERROR('a（自動）計算用'!H87,"")</f>
        <v>901.36709860084773</v>
      </c>
      <c r="G89" s="385">
        <f>IFERROR('a（自動）計算用'!K87,"")</f>
        <v>0.66</v>
      </c>
      <c r="H89" s="384">
        <f>IFERROR('a（自動）計算用'!L87,"")</f>
        <v>0</v>
      </c>
      <c r="I89" s="386">
        <f>IFERROR('a（自動）計算用'!M87,"")</f>
        <v>0</v>
      </c>
      <c r="J89" s="383">
        <f>IFERROR('a（自動）計算用'!O87,"")</f>
        <v>0</v>
      </c>
      <c r="K89" s="384">
        <f>IFERROR('a（自動）計算用'!S87,"")</f>
        <v>453.00436555367423</v>
      </c>
      <c r="L89" s="385">
        <f>IFERROR('a（自動）計算用'!V87,"")</f>
        <v>0.66060224125507372</v>
      </c>
    </row>
    <row r="90" spans="1:12" ht="13.5" customHeight="1">
      <c r="A90" s="382">
        <v>93</v>
      </c>
      <c r="B90" s="383">
        <f>IFERROR('a（自動）計算用'!G88,"")</f>
        <v>31.778215032552865</v>
      </c>
      <c r="C90" s="383">
        <f>IFERROR('a（自動）計算用'!I88,"")</f>
        <v>43.234933143655681</v>
      </c>
      <c r="D90" s="384">
        <f>IFERROR('a（自動）計算用'!F88,"")</f>
        <v>453.00436555367423</v>
      </c>
      <c r="E90" s="385">
        <f>IFERROR('a（自動）計算用'!J88,"")</f>
        <v>2.0000567604434223</v>
      </c>
      <c r="F90" s="383">
        <f>IFERROR('a（自動）計算用'!H88,"")</f>
        <v>906.03444383600959</v>
      </c>
      <c r="G90" s="385">
        <f>IFERROR('a（自動）計算用'!K88,"")</f>
        <v>0.66</v>
      </c>
      <c r="H90" s="384">
        <f>IFERROR('a（自動）計算用'!L88,"")</f>
        <v>0</v>
      </c>
      <c r="I90" s="386">
        <f>IFERROR('a（自動）計算用'!M88,"")</f>
        <v>0</v>
      </c>
      <c r="J90" s="383">
        <f>IFERROR('a（自動）計算用'!O88,"")</f>
        <v>0</v>
      </c>
      <c r="K90" s="384">
        <f>IFERROR('a（自動）計算用'!S88,"")</f>
        <v>453.00436555367423</v>
      </c>
      <c r="L90" s="385">
        <f>IFERROR('a（自動）計算用'!V88,"")</f>
        <v>0.66177716667209197</v>
      </c>
    </row>
    <row r="91" spans="1:12" ht="13.5" customHeight="1">
      <c r="A91" s="382">
        <v>94</v>
      </c>
      <c r="B91" s="383">
        <f>IFERROR('a（自動）計算用'!G89,"")</f>
        <v>31.858287455757491</v>
      </c>
      <c r="C91" s="383">
        <f>IFERROR('a（自動）計算用'!I89,"")</f>
        <v>43.292018021288719</v>
      </c>
      <c r="D91" s="384">
        <f>IFERROR('a（自動）計算用'!F89,"")</f>
        <v>453.00436555367423</v>
      </c>
      <c r="E91" s="385">
        <f>IFERROR('a（自動）計算用'!J89,"")</f>
        <v>2.0101055661481948</v>
      </c>
      <c r="F91" s="383">
        <f>IFERROR('a（自動）計算用'!H89,"")</f>
        <v>910.58659668887208</v>
      </c>
      <c r="G91" s="385">
        <f>IFERROR('a（自動）計算用'!K89,"")</f>
        <v>0.66</v>
      </c>
      <c r="H91" s="384">
        <f>IFERROR('a（自動）計算用'!L89,"")</f>
        <v>0</v>
      </c>
      <c r="I91" s="386">
        <f>IFERROR('a（自動）計算用'!M89,"")</f>
        <v>0</v>
      </c>
      <c r="J91" s="383">
        <f>IFERROR('a（自動）計算用'!O89,"")</f>
        <v>0</v>
      </c>
      <c r="K91" s="384">
        <f>IFERROR('a（自動）計算用'!S89,"")</f>
        <v>453.00436555367423</v>
      </c>
      <c r="L91" s="385">
        <f>IFERROR('a（自動）計算用'!V89,"")</f>
        <v>0.66291800837774995</v>
      </c>
    </row>
    <row r="92" spans="1:12" ht="13.5" customHeight="1">
      <c r="A92" s="382">
        <v>95</v>
      </c>
      <c r="B92" s="383">
        <f>IFERROR('a（自動）計算用'!G90,"")</f>
        <v>31.936231631986093</v>
      </c>
      <c r="C92" s="383">
        <f>IFERROR('a（自動）計算用'!I90,"")</f>
        <v>43.34745071641025</v>
      </c>
      <c r="D92" s="384">
        <f>IFERROR('a（自動）計算用'!F90,"")</f>
        <v>453.00436555367423</v>
      </c>
      <c r="E92" s="385">
        <f>IFERROR('a（自動）計算用'!J90,"")</f>
        <v>2.0199058133725418</v>
      </c>
      <c r="F92" s="383">
        <f>IFERROR('a（自動）計算用'!H90,"")</f>
        <v>915.02615146500659</v>
      </c>
      <c r="G92" s="385">
        <f>IFERROR('a（自動）計算用'!K90,"")</f>
        <v>0.66</v>
      </c>
      <c r="H92" s="384">
        <f>IFERROR('a（自動）計算用'!L90,"")</f>
        <v>0</v>
      </c>
      <c r="I92" s="386">
        <f>IFERROR('a（自動）計算用'!M90,"")</f>
        <v>0</v>
      </c>
      <c r="J92" s="383">
        <f>IFERROR('a（自動）計算用'!O90,"")</f>
        <v>0</v>
      </c>
      <c r="K92" s="384">
        <f>IFERROR('a（自動）計算用'!S90,"")</f>
        <v>453.00436555367423</v>
      </c>
      <c r="L92" s="385">
        <f>IFERROR('a（自動）計算用'!V90,"")</f>
        <v>0.66402583335599641</v>
      </c>
    </row>
    <row r="93" spans="1:12" ht="13.5" customHeight="1">
      <c r="A93" s="382">
        <v>96</v>
      </c>
      <c r="B93" s="383">
        <f>IFERROR('a（自動）計算用'!G91,"")</f>
        <v>32.012104399044432</v>
      </c>
      <c r="C93" s="383">
        <f>IFERROR('a（自動）計算用'!I91,"")</f>
        <v>43.40128287415029</v>
      </c>
      <c r="D93" s="384">
        <f>IFERROR('a（自動）計算用'!F91,"")</f>
        <v>453.00436555367423</v>
      </c>
      <c r="E93" s="385">
        <f>IFERROR('a（自動）計算用'!J91,"")</f>
        <v>2.0294631320031478</v>
      </c>
      <c r="F93" s="383">
        <f>IFERROR('a（自動）計算用'!H91,"")</f>
        <v>919.35565852765865</v>
      </c>
      <c r="G93" s="385">
        <f>IFERROR('a（自動）計算用'!K91,"")</f>
        <v>0.66</v>
      </c>
      <c r="H93" s="384">
        <f>IFERROR('a（自動）計算用'!L91,"")</f>
        <v>0</v>
      </c>
      <c r="I93" s="386">
        <f>IFERROR('a（自動）計算用'!M91,"")</f>
        <v>0</v>
      </c>
      <c r="J93" s="383">
        <f>IFERROR('a（自動）計算用'!O91,"")</f>
        <v>0</v>
      </c>
      <c r="K93" s="384">
        <f>IFERROR('a（自動）計算用'!S91,"")</f>
        <v>453.00436555367423</v>
      </c>
      <c r="L93" s="385">
        <f>IFERROR('a（自動）計算用'!V91,"")</f>
        <v>0.66510167089363792</v>
      </c>
    </row>
    <row r="94" spans="1:12" ht="13.5" customHeight="1">
      <c r="A94" s="382">
        <v>97</v>
      </c>
      <c r="B94" s="383">
        <f>IFERROR('a（自動）計算用'!G92,"")</f>
        <v>32.085961050702814</v>
      </c>
      <c r="C94" s="383">
        <f>IFERROR('a（自動）計算用'!I92,"")</f>
        <v>43.453564308337434</v>
      </c>
      <c r="D94" s="384">
        <f>IFERROR('a（自動）計算用'!F92,"")</f>
        <v>453.00436555367423</v>
      </c>
      <c r="E94" s="385">
        <f>IFERROR('a（自動）計算用'!J92,"")</f>
        <v>2.0387830544429604</v>
      </c>
      <c r="F94" s="383">
        <f>IFERROR('a（自動）計算用'!H92,"")</f>
        <v>923.57762407951543</v>
      </c>
      <c r="G94" s="385">
        <f>IFERROR('a（自動）計算用'!K92,"")</f>
        <v>0.66</v>
      </c>
      <c r="H94" s="384">
        <f>IFERROR('a（自動）計算用'!L92,"")</f>
        <v>0</v>
      </c>
      <c r="I94" s="386">
        <f>IFERROR('a（自動）計算用'!M92,"")</f>
        <v>0</v>
      </c>
      <c r="J94" s="383">
        <f>IFERROR('a（自動）計算用'!O92,"")</f>
        <v>0</v>
      </c>
      <c r="K94" s="384">
        <f>IFERROR('a（自動）計算用'!S92,"")</f>
        <v>453.00436555367423</v>
      </c>
      <c r="L94" s="385">
        <f>IFERROR('a（自動）計算用'!V92,"")</f>
        <v>0.66614651414044157</v>
      </c>
    </row>
    <row r="95" spans="1:12" ht="13.5" customHeight="1">
      <c r="A95" s="382">
        <v>98</v>
      </c>
      <c r="B95" s="383">
        <f>IFERROR('a（自動）計算用'!G93,"")</f>
        <v>32.157855380669837</v>
      </c>
      <c r="C95" s="383">
        <f>IFERROR('a（自動）計算用'!I93,"")</f>
        <v>43.504343078514694</v>
      </c>
      <c r="D95" s="384">
        <f>IFERROR('a（自動）計算用'!F93,"")</f>
        <v>453.00436555367423</v>
      </c>
      <c r="E95" s="385">
        <f>IFERROR('a（自動）計算用'!J93,"")</f>
        <v>2.0478710153242652</v>
      </c>
      <c r="F95" s="383">
        <f>IFERROR('a（自動）計算用'!H93,"")</f>
        <v>927.69451003272741</v>
      </c>
      <c r="G95" s="385">
        <f>IFERROR('a（自動）計算用'!K93,"")</f>
        <v>0.66</v>
      </c>
      <c r="H95" s="384">
        <f>IFERROR('a（自動）計算用'!L93,"")</f>
        <v>0</v>
      </c>
      <c r="I95" s="386">
        <f>IFERROR('a（自動）計算用'!M93,"")</f>
        <v>0</v>
      </c>
      <c r="J95" s="383">
        <f>IFERROR('a（自動）計算用'!O93,"")</f>
        <v>0</v>
      </c>
      <c r="K95" s="384">
        <f>IFERROR('a（自動）計算用'!S93,"")</f>
        <v>453.00436555367423</v>
      </c>
      <c r="L95" s="385">
        <f>IFERROR('a（自動）計算用'!V93,"")</f>
        <v>0.66716132159342634</v>
      </c>
    </row>
    <row r="96" spans="1:12" ht="13.5" customHeight="1">
      <c r="A96" s="382">
        <v>99</v>
      </c>
      <c r="B96" s="383">
        <f>IFERROR('a（自動）計算用'!G94,"")</f>
        <v>32.227839725188701</v>
      </c>
      <c r="C96" s="383">
        <f>IFERROR('a（自動）計算用'!I94,"")</f>
        <v>43.553665563076713</v>
      </c>
      <c r="D96" s="384">
        <f>IFERROR('a（自動）計算用'!F94,"")</f>
        <v>453.00436555367423</v>
      </c>
      <c r="E96" s="385">
        <f>IFERROR('a（自動）計算用'!J94,"")</f>
        <v>2.0567323513991846</v>
      </c>
      <c r="F96" s="383">
        <f>IFERROR('a（自動）計算用'!H94,"")</f>
        <v>931.70873395930425</v>
      </c>
      <c r="G96" s="385">
        <f>IFERROR('a（自動）計算用'!K94,"")</f>
        <v>0.66</v>
      </c>
      <c r="H96" s="384">
        <f>IFERROR('a（自動）計算用'!L94,"")</f>
        <v>0</v>
      </c>
      <c r="I96" s="386">
        <f>IFERROR('a（自動）計算用'!M94,"")</f>
        <v>0</v>
      </c>
      <c r="J96" s="383">
        <f>IFERROR('a（自動）計算用'!O94,"")</f>
        <v>0</v>
      </c>
      <c r="K96" s="384">
        <f>IFERROR('a（自動）計算用'!S94,"")</f>
        <v>453.00436555367423</v>
      </c>
      <c r="L96" s="385">
        <f>IFERROR('a（自動）計算用'!V94,"")</f>
        <v>0.66814701850950931</v>
      </c>
    </row>
    <row r="97" spans="1:12" ht="13.5" customHeight="1">
      <c r="A97" s="382">
        <v>100</v>
      </c>
      <c r="B97" s="383">
        <f>IFERROR('a（自動）計算用'!G95,"")</f>
        <v>32.295965004303454</v>
      </c>
      <c r="C97" s="383">
        <f>IFERROR('a（自動）計算用'!I95,"")</f>
        <v>43.601576528755324</v>
      </c>
      <c r="D97" s="384">
        <f>IFERROR('a（自動）計算用'!F95,"")</f>
        <v>453.00436555367423</v>
      </c>
      <c r="E97" s="385">
        <f>IFERROR('a（自動）計算用'!J95,"")</f>
        <v>2.0653723015917049</v>
      </c>
      <c r="F97" s="383">
        <f>IFERROR('a（自動）計算用'!H95,"")</f>
        <v>935.62266911468214</v>
      </c>
      <c r="G97" s="385">
        <f>IFERROR('a（自動）計算用'!K95,"")</f>
        <v>0.66</v>
      </c>
      <c r="H97" s="384">
        <f>IFERROR('a（自動）計算用'!L95,"")</f>
        <v>0</v>
      </c>
      <c r="I97" s="386">
        <f>IFERROR('a（自動）計算用'!M95,"")</f>
        <v>0</v>
      </c>
      <c r="J97" s="383">
        <f>IFERROR('a（自動）計算用'!O95,"")</f>
        <v>0</v>
      </c>
      <c r="K97" s="384">
        <f>IFERROR('a（自動）計算用'!S95,"")</f>
        <v>453.00436555367423</v>
      </c>
      <c r="L97" s="385">
        <f>IFERROR('a（自動）計算用'!V95,"")</f>
        <v>0.66910449825042284</v>
      </c>
    </row>
    <row r="98" spans="1:12" ht="13.5" customHeight="1">
      <c r="A98" s="382">
        <v>101</v>
      </c>
      <c r="B98" s="383">
        <f>IFERROR('a（自動）計算用'!G96,"")</f>
        <v>32.362280761840779</v>
      </c>
      <c r="C98" s="383">
        <f>IFERROR('a（自動）計算用'!I96,"")</f>
        <v>43.648119196664787</v>
      </c>
      <c r="D98" s="384">
        <f>IFERROR('a（自動）計算用'!F96,"")</f>
        <v>453.00436555367423</v>
      </c>
      <c r="E98" s="385">
        <f>IFERROR('a（自動）計算用'!J96,"")</f>
        <v>2.0737960071964929</v>
      </c>
      <c r="F98" s="383">
        <f>IFERROR('a（自動）計算用'!H96,"")</f>
        <v>939.43864452779019</v>
      </c>
      <c r="G98" s="385">
        <f>IFERROR('a（自動）計算用'!K96,"")</f>
        <v>0.67</v>
      </c>
      <c r="H98" s="384">
        <f>IFERROR('a（自動）計算用'!L96,"")</f>
        <v>0</v>
      </c>
      <c r="I98" s="386">
        <f>IFERROR('a（自動）計算用'!M96,"")</f>
        <v>0</v>
      </c>
      <c r="J98" s="383">
        <f>IFERROR('a（自動）計算用'!O96,"")</f>
        <v>0</v>
      </c>
      <c r="K98" s="384">
        <f>IFERROR('a（自動）計算用'!S96,"")</f>
        <v>453.00436555367423</v>
      </c>
      <c r="L98" s="385">
        <f>IFERROR('a（自動）計算用'!V96,"")</f>
        <v>0.67003462356359378</v>
      </c>
    </row>
    <row r="99" spans="1:12" ht="13.5" customHeight="1">
      <c r="A99" s="382">
        <v>102</v>
      </c>
      <c r="B99" s="383">
        <f>IFERROR('a（自動）計算用'!G97,"")</f>
        <v>32.426835204152212</v>
      </c>
      <c r="C99" s="383">
        <f>IFERROR('a（自動）計算用'!I97,"")</f>
        <v>43.693335305105641</v>
      </c>
      <c r="D99" s="384">
        <f>IFERROR('a（自動）計算用'!F97,"")</f>
        <v>453.00436555367423</v>
      </c>
      <c r="E99" s="385">
        <f>IFERROR('a（自動）計算用'!J97,"")</f>
        <v>2.0820085122110825</v>
      </c>
      <c r="F99" s="383">
        <f>IFERROR('a（自動）計算用'!H97,"")</f>
        <v>943.1589451515307</v>
      </c>
      <c r="G99" s="385">
        <f>IFERROR('a（自動）計算用'!K97,"")</f>
        <v>0.67</v>
      </c>
      <c r="H99" s="384">
        <f>IFERROR('a（自動）計算用'!L97,"")</f>
        <v>0</v>
      </c>
      <c r="I99" s="386">
        <f>IFERROR('a（自動）計算用'!M97,"")</f>
        <v>0</v>
      </c>
      <c r="J99" s="383">
        <f>IFERROR('a（自動）計算用'!O97,"")</f>
        <v>0</v>
      </c>
      <c r="K99" s="384">
        <f>IFERROR('a（自動）計算用'!S97,"")</f>
        <v>453.00436555367423</v>
      </c>
      <c r="L99" s="385">
        <f>IFERROR('a（自動）計算用'!V97,"")</f>
        <v>0.67093822780246259</v>
      </c>
    </row>
    <row r="100" spans="1:12" ht="13.5" customHeight="1">
      <c r="A100" s="382">
        <v>103</v>
      </c>
      <c r="B100" s="383">
        <f>IFERROR('a（自動）計算用'!G98,"")</f>
        <v>32.489675237659988</v>
      </c>
      <c r="C100" s="383">
        <f>IFERROR('a（自動）計算用'!I98,"")</f>
        <v>43.737265169312209</v>
      </c>
      <c r="D100" s="384">
        <f>IFERROR('a（自動）計算用'!F98,"")</f>
        <v>453.00436555367423</v>
      </c>
      <c r="E100" s="385">
        <f>IFERROR('a（自動）計算用'!J98,"")</f>
        <v>2.0900147637889845</v>
      </c>
      <c r="F100" s="383">
        <f>IFERROR('a（自動）計算用'!H98,"")</f>
        <v>946.78581206804131</v>
      </c>
      <c r="G100" s="385">
        <f>IFERROR('a（自動）計算用'!K98,"")</f>
        <v>0.67</v>
      </c>
      <c r="H100" s="384">
        <f>IFERROR('a（自動）計算用'!L98,"")</f>
        <v>0</v>
      </c>
      <c r="I100" s="386">
        <f>IFERROR('a（自動）計算用'!M98,"")</f>
        <v>0</v>
      </c>
      <c r="J100" s="383">
        <f>IFERROR('a（自動）計算用'!O98,"")</f>
        <v>0</v>
      </c>
      <c r="K100" s="384">
        <f>IFERROR('a（自動）計算用'!S98,"")</f>
        <v>453.00436555367423</v>
      </c>
      <c r="L100" s="385">
        <f>IFERROR('a（自動）計算用'!V98,"")</f>
        <v>0.67181611608951464</v>
      </c>
    </row>
    <row r="101" spans="1:12" ht="13.5" customHeight="1">
      <c r="A101" s="382">
        <v>104</v>
      </c>
      <c r="B101" s="383">
        <f>IFERROR('a（自動）計算用'!G99,"")</f>
        <v>32.550846505248529</v>
      </c>
      <c r="C101" s="383">
        <f>IFERROR('a（自動）計算用'!I99,"")</f>
        <v>43.779947738318036</v>
      </c>
      <c r="D101" s="384">
        <f>IFERROR('a（自動）計算用'!F99,"")</f>
        <v>453.00436555367423</v>
      </c>
      <c r="E101" s="385">
        <f>IFERROR('a（自動）計算用'!J99,"")</f>
        <v>2.0978196128023163</v>
      </c>
      <c r="F101" s="383">
        <f>IFERROR('a（自動）計算用'!H99,"")</f>
        <v>950.3214427435679</v>
      </c>
      <c r="G101" s="385">
        <f>IFERROR('a（自動）計算用'!K99,"")</f>
        <v>0.67</v>
      </c>
      <c r="H101" s="384">
        <f>IFERROR('a（自動）計算用'!L99,"")</f>
        <v>0</v>
      </c>
      <c r="I101" s="386">
        <f>IFERROR('a（自動）計算用'!M99,"")</f>
        <v>0</v>
      </c>
      <c r="J101" s="383">
        <f>IFERROR('a（自動）計算用'!O99,"")</f>
        <v>0</v>
      </c>
      <c r="K101" s="384">
        <f>IFERROR('a（自動）計算用'!S99,"")</f>
        <v>453.00436555367423</v>
      </c>
      <c r="L101" s="385">
        <f>IFERROR('a（自動）計算用'!V99,"")</f>
        <v>0.67266906642510582</v>
      </c>
    </row>
    <row r="102" spans="1:12" ht="13.5" customHeight="1">
      <c r="A102" s="382">
        <v>105</v>
      </c>
      <c r="B102" s="383">
        <f>IFERROR('a（自動）計算用'!G100,"")</f>
        <v>32.610393421542035</v>
      </c>
      <c r="C102" s="383">
        <f>IFERROR('a（自動）計算用'!I100,"")</f>
        <v>43.82142064910196</v>
      </c>
      <c r="D102" s="384">
        <f>IFERROR('a（自動）計算用'!F100,"")</f>
        <v>453.00436555367423</v>
      </c>
      <c r="E102" s="385">
        <f>IFERROR('a（自動）計算用'!J100,"")</f>
        <v>2.1054278145034395</v>
      </c>
      <c r="F102" s="383">
        <f>IFERROR('a（自動）計算用'!H100,"")</f>
        <v>953.76799132818962</v>
      </c>
      <c r="G102" s="385">
        <f>IFERROR('a（自動）計算用'!K100,"")</f>
        <v>0.67</v>
      </c>
      <c r="H102" s="384">
        <f>IFERROR('a（自動）計算用'!L100,"")</f>
        <v>0</v>
      </c>
      <c r="I102" s="386">
        <f>IFERROR('a（自動）計算用'!M100,"")</f>
        <v>0</v>
      </c>
      <c r="J102" s="383">
        <f>IFERROR('a（自動）計算用'!O100,"")</f>
        <v>0</v>
      </c>
      <c r="K102" s="384">
        <f>IFERROR('a（自動）計算用'!S100,"")</f>
        <v>453.00436555367423</v>
      </c>
      <c r="L102" s="385">
        <f>IFERROR('a（自動）計算用'!V100,"")</f>
        <v>0.67349783074498371</v>
      </c>
    </row>
    <row r="103" spans="1:12" ht="13.5" customHeight="1">
      <c r="A103" s="382">
        <v>106</v>
      </c>
      <c r="B103" s="383">
        <f>IFERROR('a（自動）計算用'!G101,"")</f>
        <v>32.668359207107322</v>
      </c>
      <c r="C103" s="383">
        <f>IFERROR('a（自動）計算用'!I101,"")</f>
        <v>43.861720278166928</v>
      </c>
      <c r="D103" s="384">
        <f>IFERROR('a（自動）計算用'!F101,"")</f>
        <v>453.00436555367423</v>
      </c>
      <c r="E103" s="385">
        <f>IFERROR('a（自動）計算用'!J101,"")</f>
        <v>2.1128440292758768</v>
      </c>
      <c r="F103" s="383">
        <f>IFERROR('a（自動）計算用'!H101,"")</f>
        <v>957.12756899598719</v>
      </c>
      <c r="G103" s="385">
        <f>IFERROR('a（自動）計算用'!K101,"")</f>
        <v>0.67</v>
      </c>
      <c r="H103" s="384">
        <f>IFERROR('a（自動）計算用'!L101,"")</f>
        <v>0</v>
      </c>
      <c r="I103" s="386">
        <f>IFERROR('a（自動）計算用'!M101,"")</f>
        <v>0</v>
      </c>
      <c r="J103" s="383">
        <f>IFERROR('a（自動）計算用'!O101,"")</f>
        <v>0</v>
      </c>
      <c r="K103" s="384">
        <f>IFERROR('a（自動）計算用'!S101,"")</f>
        <v>453.00436555367423</v>
      </c>
      <c r="L103" s="385">
        <f>IFERROR('a（自動）計算用'!V101,"")</f>
        <v>0.67430313592923674</v>
      </c>
    </row>
    <row r="104" spans="1:12" ht="13.5" customHeight="1">
      <c r="A104" s="382">
        <v>107</v>
      </c>
      <c r="B104" s="383">
        <f>IFERROR('a（自動）計算用'!G102,"")</f>
        <v>32.724785921619691</v>
      </c>
      <c r="C104" s="383">
        <f>IFERROR('a（自動）計算用'!I102,"")</f>
        <v>43.900881790695273</v>
      </c>
      <c r="D104" s="384">
        <f>IFERROR('a（自動）計算用'!F102,"")</f>
        <v>453.00436555367423</v>
      </c>
      <c r="E104" s="385">
        <f>IFERROR('a（自動）計算用'!J102,"")</f>
        <v>2.1200728234656578</v>
      </c>
      <c r="F104" s="383">
        <f>IFERROR('a（自動）計算用'!H102,"")</f>
        <v>960.40224432164712</v>
      </c>
      <c r="G104" s="385">
        <f>IFERROR('a（自動）計算用'!K102,"")</f>
        <v>0.67</v>
      </c>
      <c r="H104" s="384">
        <f>IFERROR('a（自動）計算用'!L102,"")</f>
        <v>0</v>
      </c>
      <c r="I104" s="386">
        <f>IFERROR('a（自動）計算用'!M102,"")</f>
        <v>0</v>
      </c>
      <c r="J104" s="383">
        <f>IFERROR('a（自動）計算用'!O102,"")</f>
        <v>0</v>
      </c>
      <c r="K104" s="384">
        <f>IFERROR('a（自動）計算用'!S102,"")</f>
        <v>453.00436555367423</v>
      </c>
      <c r="L104" s="385">
        <f>IFERROR('a（自動）計算用'!V102,"")</f>
        <v>0.675085684765247</v>
      </c>
    </row>
    <row r="105" spans="1:12" ht="13.5" customHeight="1">
      <c r="A105" s="382">
        <v>108</v>
      </c>
      <c r="B105" s="383">
        <f>IFERROR('a（自動）計算用'!G103,"")</f>
        <v>32.779714496027857</v>
      </c>
      <c r="C105" s="383">
        <f>IFERROR('a（自動）計算用'!I103,"")</f>
        <v>43.938939187413446</v>
      </c>
      <c r="D105" s="384">
        <f>IFERROR('a（自動）計算用'!F103,"")</f>
        <v>453.00436555367423</v>
      </c>
      <c r="E105" s="385">
        <f>IFERROR('a（自動）計算用'!J103,"")</f>
        <v>2.12711867028476</v>
      </c>
      <c r="F105" s="383">
        <f>IFERROR('a（自動）計算用'!H103,"")</f>
        <v>963.59404368972287</v>
      </c>
      <c r="G105" s="385">
        <f>IFERROR('a（自動）計算用'!K103,"")</f>
        <v>0.67</v>
      </c>
      <c r="H105" s="384">
        <f>IFERROR('a（自動）計算用'!L103,"")</f>
        <v>0</v>
      </c>
      <c r="I105" s="386">
        <f>IFERROR('a（自動）計算用'!M103,"")</f>
        <v>0</v>
      </c>
      <c r="J105" s="383">
        <f>IFERROR('a（自動）計算用'!O103,"")</f>
        <v>0</v>
      </c>
      <c r="K105" s="384">
        <f>IFERROR('a（自動）計算用'!S103,"")</f>
        <v>453.00436555367423</v>
      </c>
      <c r="L105" s="385">
        <f>IFERROR('a（自動）計算用'!V103,"")</f>
        <v>0.67584615686706528</v>
      </c>
    </row>
    <row r="106" spans="1:12" ht="13.5" customHeight="1">
      <c r="A106" s="382">
        <v>109</v>
      </c>
      <c r="B106" s="383">
        <f>IFERROR('a（自動）計算用'!G104,"")</f>
        <v>32.833184763753202</v>
      </c>
      <c r="C106" s="383">
        <f>IFERROR('a（自動）計算用'!I104,"")</f>
        <v>43.975925349292595</v>
      </c>
      <c r="D106" s="384">
        <f>IFERROR('a（自動）計算用'!F104,"")</f>
        <v>453.00436555367423</v>
      </c>
      <c r="E106" s="385">
        <f>IFERROR('a（自動）計算用'!J104,"")</f>
        <v>2.133985950779135</v>
      </c>
      <c r="F106" s="383">
        <f>IFERROR('a（自動）計算用'!H104,"")</f>
        <v>966.70495173315635</v>
      </c>
      <c r="G106" s="385">
        <f>IFERROR('a（自動）計算用'!K104,"")</f>
        <v>0.67</v>
      </c>
      <c r="H106" s="384">
        <f>IFERROR('a（自動）計算用'!L104,"")</f>
        <v>0</v>
      </c>
      <c r="I106" s="386">
        <f>IFERROR('a（自動）計算用'!M104,"")</f>
        <v>0</v>
      </c>
      <c r="J106" s="383">
        <f>IFERROR('a（自動）計算用'!O104,"")</f>
        <v>0</v>
      </c>
      <c r="K106" s="384">
        <f>IFERROR('a（自動）計算用'!S104,"")</f>
        <v>453.00436555367423</v>
      </c>
      <c r="L106" s="385">
        <f>IFERROR('a（自動）計算用'!V104,"")</f>
        <v>0.67658520955349422</v>
      </c>
    </row>
    <row r="107" spans="1:12" ht="13.5" customHeight="1">
      <c r="A107" s="382">
        <v>110</v>
      </c>
      <c r="B107" s="383">
        <f>IFERROR('a（自動）計算用'!G105,"")</f>
        <v>32.885235490956617</v>
      </c>
      <c r="C107" s="383">
        <f>IFERROR('a（自動）計算用'!I105,"")</f>
        <v>44.011872080202394</v>
      </c>
      <c r="D107" s="384">
        <f>IFERROR('a（自動）計算用'!F105,"")</f>
        <v>453.00436555367423</v>
      </c>
      <c r="E107" s="385">
        <f>IFERROR('a（自動）計算用'!J105,"")</f>
        <v>2.1406789548542684</v>
      </c>
      <c r="F107" s="383">
        <f>IFERROR('a（自動）計算用'!H105,"")</f>
        <v>969.73691179786033</v>
      </c>
      <c r="G107" s="385">
        <f>IFERROR('a（自動）計算用'!K105,"")</f>
        <v>0.67</v>
      </c>
      <c r="H107" s="384">
        <f>IFERROR('a（自動）計算用'!L105,"")</f>
        <v>0</v>
      </c>
      <c r="I107" s="386">
        <f>IFERROR('a（自動）計算用'!M105,"")</f>
        <v>0</v>
      </c>
      <c r="J107" s="383">
        <f>IFERROR('a（自動）計算用'!O105,"")</f>
        <v>0</v>
      </c>
      <c r="K107" s="384">
        <f>IFERROR('a（自動）計算用'!S105,"")</f>
        <v>453.00436555367423</v>
      </c>
      <c r="L107" s="385">
        <f>IFERROR('a（自動）計算用'!V105,"")</f>
        <v>0.67730347868702678</v>
      </c>
    </row>
    <row r="108" spans="1:12" ht="13.5" customHeight="1">
      <c r="A108" s="382">
        <v>111</v>
      </c>
      <c r="B108" s="383">
        <f>IFERROR('a（自動）計算用'!G106,"")</f>
        <v>32.935904405905355</v>
      </c>
      <c r="C108" s="383">
        <f>IFERROR('a（自動）計算用'!I106,"")</f>
        <v>44.046810147628854</v>
      </c>
      <c r="D108" s="384">
        <f>IFERROR('a（自動）計算用'!F106,"")</f>
        <v>453.00436555367423</v>
      </c>
      <c r="E108" s="385">
        <f>IFERROR('a（自動）計算用'!J106,"")</f>
        <v>2.1472018823518444</v>
      </c>
      <c r="F108" s="383">
        <f>IFERROR('a（自動）計算用'!H106,"")</f>
        <v>972.69182643045235</v>
      </c>
      <c r="G108" s="385">
        <f>IFERROR('a（自動）計算用'!K106,"")</f>
        <v>0.67</v>
      </c>
      <c r="H108" s="384">
        <f>IFERROR('a（自動）計算用'!L106,"")</f>
        <v>0</v>
      </c>
      <c r="I108" s="386">
        <f>IFERROR('a（自動）計算用'!M106,"")</f>
        <v>0</v>
      </c>
      <c r="J108" s="383">
        <f>IFERROR('a（自動）計算用'!O106,"")</f>
        <v>0</v>
      </c>
      <c r="K108" s="384">
        <f>IFERROR('a（自動）計算用'!S106,"")</f>
        <v>453.00436555367423</v>
      </c>
      <c r="L108" s="385">
        <f>IFERROR('a（自動）計算用'!V106,"")</f>
        <v>0.67800157947566875</v>
      </c>
    </row>
    <row r="109" spans="1:12" ht="13.5" customHeight="1">
      <c r="A109" s="382">
        <v>112</v>
      </c>
      <c r="B109" s="383">
        <f>IFERROR('a（自動）計算用'!G107,"")</f>
        <v>32.985228227470728</v>
      </c>
      <c r="C109" s="383">
        <f>IFERROR('a（自動）計算用'!I107,"")</f>
        <v>44.080769321559785</v>
      </c>
      <c r="D109" s="384">
        <f>IFERROR('a（自動）計算用'!F107,"")</f>
        <v>453.00436555367423</v>
      </c>
      <c r="E109" s="385">
        <f>IFERROR('a（自動）計算用'!J107,"")</f>
        <v>2.1535588441715232</v>
      </c>
      <c r="F109" s="383">
        <f>IFERROR('a（自動）計算用'!H107,"")</f>
        <v>975.5715578864249</v>
      </c>
      <c r="G109" s="385">
        <f>IFERROR('a（自動）計算用'!K107,"")</f>
        <v>0.67</v>
      </c>
      <c r="H109" s="384">
        <f>IFERROR('a（自動）計算用'!L107,"")</f>
        <v>0</v>
      </c>
      <c r="I109" s="386">
        <f>IFERROR('a（自動）計算用'!M107,"")</f>
        <v>0</v>
      </c>
      <c r="J109" s="383">
        <f>IFERROR('a（自動）計算用'!O107,"")</f>
        <v>0</v>
      </c>
      <c r="K109" s="384">
        <f>IFERROR('a（自動）計算用'!S107,"")</f>
        <v>453.00436555367423</v>
      </c>
      <c r="L109" s="385">
        <f>IFERROR('a（自動）計算用'!V107,"")</f>
        <v>0.67868010723955174</v>
      </c>
    </row>
    <row r="110" spans="1:12" ht="13.5" customHeight="1">
      <c r="A110" s="382">
        <v>113</v>
      </c>
      <c r="B110" s="383">
        <f>IFERROR('a（自動）計算用'!G108,"")</f>
        <v>33.033242692786509</v>
      </c>
      <c r="C110" s="383">
        <f>IFERROR('a（自動）計算用'!I108,"")</f>
        <v>44.113778411635366</v>
      </c>
      <c r="D110" s="384">
        <f>IFERROR('a（自動）計算用'!F108,"")</f>
        <v>453.00436555367423</v>
      </c>
      <c r="E110" s="385">
        <f>IFERROR('a（自動）計算用'!J108,"")</f>
        <v>2.1597538634323468</v>
      </c>
      <c r="F110" s="383">
        <f>IFERROR('a（自動）計算用'!H108,"")</f>
        <v>978.37792865626704</v>
      </c>
      <c r="G110" s="385">
        <f>IFERROR('a（自動）計算用'!K108,"")</f>
        <v>0.67</v>
      </c>
      <c r="H110" s="384">
        <f>IFERROR('a（自動）計算用'!L108,"")</f>
        <v>0</v>
      </c>
      <c r="I110" s="386">
        <f>IFERROR('a（自動）計算用'!M108,"")</f>
        <v>0</v>
      </c>
      <c r="J110" s="383">
        <f>IFERROR('a（自動）計算用'!O108,"")</f>
        <v>0</v>
      </c>
      <c r="K110" s="384">
        <f>IFERROR('a（自動）計算用'!S108,"")</f>
        <v>453.00436555367423</v>
      </c>
      <c r="L110" s="385">
        <f>IFERROR('a（自動）計算用'!V108,"")</f>
        <v>0.67933963814413301</v>
      </c>
    </row>
    <row r="111" spans="1:12" ht="13.5" customHeight="1">
      <c r="A111" s="382">
        <v>114</v>
      </c>
      <c r="B111" s="383">
        <f>IFERROR('a（自動）計算用'!G109,"")</f>
        <v>33.079982584096534</v>
      </c>
      <c r="C111" s="383">
        <f>IFERROR('a（自動）計算用'!I109,"")</f>
        <v>44.145865302655658</v>
      </c>
      <c r="D111" s="384">
        <f>IFERROR('a（自動）計算用'!F109,"")</f>
        <v>453.00436555367423</v>
      </c>
      <c r="E111" s="385">
        <f>IFERROR('a（自動）計算用'!J109,"")</f>
        <v>2.1657908766687304</v>
      </c>
      <c r="F111" s="383">
        <f>IFERROR('a（自動）計算用'!H109,"")</f>
        <v>981.11272200725409</v>
      </c>
      <c r="G111" s="385">
        <f>IFERROR('a（自動）計算用'!K109,"")</f>
        <v>0.67</v>
      </c>
      <c r="H111" s="384">
        <f>IFERROR('a（自動）計算用'!L109,"")</f>
        <v>0</v>
      </c>
      <c r="I111" s="386">
        <f>IFERROR('a（自動）計算用'!M109,"")</f>
        <v>0</v>
      </c>
      <c r="J111" s="383">
        <f>IFERROR('a（自動）計算用'!O109,"")</f>
        <v>0</v>
      </c>
      <c r="K111" s="384">
        <f>IFERROR('a（自動）計算用'!S109,"")</f>
        <v>453.00436555367423</v>
      </c>
      <c r="L111" s="385">
        <f>IFERROR('a（自動）計算用'!V109,"")</f>
        <v>0.67998072990168845</v>
      </c>
    </row>
    <row r="112" spans="1:12" ht="13.5" customHeight="1">
      <c r="A112" s="382">
        <v>115</v>
      </c>
      <c r="B112" s="383">
        <f>IFERROR('a（自動）計算用'!G110,"")</f>
        <v>33.1254817548188</v>
      </c>
      <c r="C112" s="383">
        <f>IFERROR('a（自動）計算用'!I110,"")</f>
        <v>44.177056988530403</v>
      </c>
      <c r="D112" s="384">
        <f>IFERROR('a（自動）計算用'!F110,"")</f>
        <v>453.00436555367423</v>
      </c>
      <c r="E112" s="385">
        <f>IFERROR('a（自動）計算用'!J110,"")</f>
        <v>2.171673735056288</v>
      </c>
      <c r="F112" s="383">
        <f>IFERROR('a（自動）計算用'!H110,"")</f>
        <v>983.77768253875183</v>
      </c>
      <c r="G112" s="385">
        <f>IFERROR('a（自動）計算用'!K110,"")</f>
        <v>0.68</v>
      </c>
      <c r="H112" s="384">
        <f>IFERROR('a（自動）計算用'!L110,"")</f>
        <v>0</v>
      </c>
      <c r="I112" s="386">
        <f>IFERROR('a（自動）計算用'!M110,"")</f>
        <v>0</v>
      </c>
      <c r="J112" s="383">
        <f>IFERROR('a（自動）計算用'!O110,"")</f>
        <v>0</v>
      </c>
      <c r="K112" s="384">
        <f>IFERROR('a（自動）計算用'!S110,"")</f>
        <v>453.00436555367423</v>
      </c>
      <c r="L112" s="385">
        <f>IFERROR('a（自動）計算用'!V110,"")</f>
        <v>0.68060392244268209</v>
      </c>
    </row>
    <row r="113" spans="1:12" ht="13.5" customHeight="1">
      <c r="A113" s="382">
        <v>116</v>
      </c>
      <c r="B113" s="383">
        <f>IFERROR('a（自動）計算用'!G111,"")</f>
        <v>33.169773154852507</v>
      </c>
      <c r="C113" s="383">
        <f>IFERROR('a（自動）計算用'!I111,"")</f>
        <v>44.207379604752923</v>
      </c>
      <c r="D113" s="384">
        <f>IFERROR('a（自動）計算用'!F111,"")</f>
        <v>453.00436555367423</v>
      </c>
      <c r="E113" s="385">
        <f>IFERROR('a（自動）計算用'!J111,"")</f>
        <v>2.177406205663253</v>
      </c>
      <c r="F113" s="383">
        <f>IFERROR('a（自動）計算用'!H111,"")</f>
        <v>986.37451674911506</v>
      </c>
      <c r="G113" s="385">
        <f>IFERROR('a（自動）計算用'!K111,"")</f>
        <v>0.68</v>
      </c>
      <c r="H113" s="384">
        <f>IFERROR('a（自動）計算用'!L111,"")</f>
        <v>0</v>
      </c>
      <c r="I113" s="386">
        <f>IFERROR('a（自動）計算用'!M111,"")</f>
        <v>0</v>
      </c>
      <c r="J113" s="383">
        <f>IFERROR('a（自動）計算用'!O111,"")</f>
        <v>0</v>
      </c>
      <c r="K113" s="384">
        <f>IFERROR('a（自動）計算用'!S111,"")</f>
        <v>453.00436555367423</v>
      </c>
      <c r="L113" s="385">
        <f>IFERROR('a（自動）計算用'!V111,"")</f>
        <v>0.68120973855853939</v>
      </c>
    </row>
    <row r="114" spans="1:12" ht="13.5" customHeight="1">
      <c r="A114" s="382">
        <v>117</v>
      </c>
      <c r="B114" s="383">
        <f>IFERROR('a（自動）計算用'!G112,"")</f>
        <v>33.212888855153139</v>
      </c>
      <c r="C114" s="383">
        <f>IFERROR('a（自動）計算用'!I112,"")</f>
        <v>44.236858459473254</v>
      </c>
      <c r="D114" s="384">
        <f>IFERROR('a（自動）計算用'!F112,"")</f>
        <v>453.00436555367423</v>
      </c>
      <c r="E114" s="385">
        <f>IFERROR('a（自動）計算用'!J112,"")</f>
        <v>2.1829919727234581</v>
      </c>
      <c r="F114" s="383">
        <f>IFERROR('a（自動）計算用'!H112,"")</f>
        <v>988.90489361235393</v>
      </c>
      <c r="G114" s="385">
        <f>IFERROR('a（自動）計算用'!K112,"")</f>
        <v>0.68</v>
      </c>
      <c r="H114" s="384">
        <f>IFERROR('a（自動）計算用'!L112,"")</f>
        <v>0</v>
      </c>
      <c r="I114" s="386">
        <f>IFERROR('a（自動）計算用'!M112,"")</f>
        <v>0</v>
      </c>
      <c r="J114" s="383">
        <f>IFERROR('a（自動）計算用'!O112,"")</f>
        <v>0</v>
      </c>
      <c r="K114" s="384">
        <f>IFERROR('a（自動）計算用'!S112,"")</f>
        <v>453.00436555367423</v>
      </c>
      <c r="L114" s="385">
        <f>IFERROR('a（自動）計算用'!V112,"")</f>
        <v>0.68179868451722925</v>
      </c>
    </row>
    <row r="115" spans="1:12" ht="13.5" customHeight="1">
      <c r="A115" s="382">
        <v>118</v>
      </c>
      <c r="B115" s="383">
        <f>IFERROR('a（自動）計算用'!G113,"")</f>
        <v>33.254860071599857</v>
      </c>
      <c r="C115" s="383">
        <f>IFERROR('a（自動）計算用'!I113,"")</f>
        <v>44.265518063242688</v>
      </c>
      <c r="D115" s="384">
        <f>IFERROR('a（自動）計算用'!F113,"")</f>
        <v>453.00436555367423</v>
      </c>
      <c r="E115" s="385">
        <f>IFERROR('a（自動）計算用'!J113,"")</f>
        <v>2.1884346389272253</v>
      </c>
      <c r="F115" s="383">
        <f>IFERROR('a（自動）計算用'!H113,"")</f>
        <v>991.37044516291189</v>
      </c>
      <c r="G115" s="385">
        <f>IFERROR('a（自動）計算用'!K113,"")</f>
        <v>0.68</v>
      </c>
      <c r="H115" s="384">
        <f>IFERROR('a（自動）計算用'!L113,"")</f>
        <v>0</v>
      </c>
      <c r="I115" s="386">
        <f>IFERROR('a（自動）計算用'!M113,"")</f>
        <v>0</v>
      </c>
      <c r="J115" s="383">
        <f>IFERROR('a（自動）計算用'!O113,"")</f>
        <v>0</v>
      </c>
      <c r="K115" s="384">
        <f>IFERROR('a（自動）計算用'!S113,"")</f>
        <v>453.00436555367423</v>
      </c>
      <c r="L115" s="385">
        <f>IFERROR('a（自動）計算用'!V113,"")</f>
        <v>0.68237125065301363</v>
      </c>
    </row>
    <row r="116" spans="1:12" ht="13.5" customHeight="1">
      <c r="A116" s="382">
        <v>119</v>
      </c>
      <c r="B116" s="383">
        <f>IFERROR('a（自動）計算用'!G114,"")</f>
        <v>33.295717188178457</v>
      </c>
      <c r="C116" s="383">
        <f>IFERROR('a（自動）計算用'!I114,"")</f>
        <v>44.293382157497007</v>
      </c>
      <c r="D116" s="384">
        <f>IFERROR('a（自動）計算用'!F114,"")</f>
        <v>453.00436555367423</v>
      </c>
      <c r="E116" s="385">
        <f>IFERROR('a（自動）計算用'!J114,"")</f>
        <v>2.1937377267268081</v>
      </c>
      <c r="F116" s="383">
        <f>IFERROR('a（自動）計算用'!H114,"")</f>
        <v>993.77276708703721</v>
      </c>
      <c r="G116" s="385">
        <f>IFERROR('a（自動）計算用'!K114,"")</f>
        <v>0.68</v>
      </c>
      <c r="H116" s="384">
        <f>IFERROR('a（自動）計算用'!L114,"")</f>
        <v>0</v>
      </c>
      <c r="I116" s="386">
        <f>IFERROR('a（自動）計算用'!M114,"")</f>
        <v>0</v>
      </c>
      <c r="J116" s="383">
        <f>IFERROR('a（自動）計算用'!O114,"")</f>
        <v>0</v>
      </c>
      <c r="K116" s="384">
        <f>IFERROR('a（自動）計算用'!S114,"")</f>
        <v>453.00436555367423</v>
      </c>
      <c r="L116" s="385">
        <f>IFERROR('a（自動）計算用'!V114,"")</f>
        <v>0.68292791193162317</v>
      </c>
    </row>
    <row r="117" spans="1:12" ht="13.5" customHeight="1">
      <c r="A117" s="382">
        <v>120</v>
      </c>
      <c r="B117" s="383">
        <f>IFERROR('a（自動）計算用'!G115,"")</f>
        <v>33.335489779502211</v>
      </c>
      <c r="C117" s="383">
        <f>IFERROR('a（自動）計算用'!I115,"")</f>
        <v>44.320473741841305</v>
      </c>
      <c r="D117" s="384">
        <f>IFERROR('a（自動）計算用'!F115,"")</f>
        <v>453.00436555367423</v>
      </c>
      <c r="E117" s="385">
        <f>IFERROR('a（自動）計算用'!J115,"")</f>
        <v>2.1989046796532077</v>
      </c>
      <c r="F117" s="383">
        <f>IFERROR('a（自動）計算用'!H115,"")</f>
        <v>996.11341931930667</v>
      </c>
      <c r="G117" s="385">
        <f>IFERROR('a（自動）計算用'!K115,"")</f>
        <v>0.68</v>
      </c>
      <c r="H117" s="384">
        <f>IFERROR('a（自動）計算用'!L115,"")</f>
        <v>0</v>
      </c>
      <c r="I117" s="386">
        <f>IFERROR('a（自動）計算用'!M115,"")</f>
        <v>0</v>
      </c>
      <c r="J117" s="383">
        <f>IFERROR('a（自動）計算用'!O115,"")</f>
        <v>0</v>
      </c>
      <c r="K117" s="384">
        <f>IFERROR('a（自動）計算用'!S115,"")</f>
        <v>453.00436555367423</v>
      </c>
      <c r="L117" s="385">
        <f>IFERROR('a（自動）計算用'!V115,"")</f>
        <v>0.68346912849205887</v>
      </c>
    </row>
  </sheetData>
  <sheetProtection password="F089" sheet="1" objects="1" scenarios="1"/>
  <mergeCells count="7">
    <mergeCell ref="H1:H2"/>
    <mergeCell ref="A1:C2"/>
    <mergeCell ref="G5:G6"/>
    <mergeCell ref="I5:I6"/>
    <mergeCell ref="L5:L6"/>
    <mergeCell ref="E1:E2"/>
    <mergeCell ref="I1:K1"/>
  </mergeCells>
  <phoneticPr fontId="1"/>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U44"/>
  <sheetViews>
    <sheetView showGridLines="0" view="pageBreakPreview" topLeftCell="A4" zoomScaleNormal="100" zoomScaleSheetLayoutView="100" workbookViewId="0">
      <selection activeCell="C12" sqref="C12"/>
    </sheetView>
  </sheetViews>
  <sheetFormatPr defaultRowHeight="12"/>
  <cols>
    <col min="1" max="1" width="4.5" style="227" bestFit="1" customWidth="1"/>
    <col min="2" max="7" width="7.125" style="226" customWidth="1"/>
    <col min="8" max="8" width="3.625" style="227" customWidth="1"/>
    <col min="9" max="9" width="7.75" style="227" bestFit="1" customWidth="1"/>
    <col min="10" max="20" width="7.125" style="227" customWidth="1"/>
    <col min="21" max="21" width="9" style="227" customWidth="1"/>
    <col min="22" max="16384" width="9" style="227"/>
  </cols>
  <sheetData>
    <row r="1" spans="1:21" ht="27" customHeight="1">
      <c r="A1" s="429" t="s">
        <v>303</v>
      </c>
      <c r="B1" s="429"/>
      <c r="C1" s="429"/>
      <c r="D1" s="429"/>
      <c r="E1" s="429"/>
      <c r="F1" s="429"/>
      <c r="G1" s="429"/>
      <c r="H1" s="429"/>
      <c r="I1" s="429"/>
      <c r="J1" s="429"/>
      <c r="K1" s="429"/>
      <c r="L1" s="429"/>
      <c r="M1" s="429"/>
      <c r="N1" s="429"/>
      <c r="O1" s="429"/>
      <c r="P1" s="429"/>
      <c r="Q1" s="429"/>
      <c r="R1" s="429"/>
      <c r="S1" s="429"/>
      <c r="T1" s="429"/>
    </row>
    <row r="2" spans="1:21" ht="13.5" customHeight="1">
      <c r="S2" s="430">
        <f ca="1">NOW()</f>
        <v>43578.798793055554</v>
      </c>
      <c r="T2" s="430"/>
      <c r="U2" s="248" t="s">
        <v>310</v>
      </c>
    </row>
    <row r="3" spans="1:21" s="267" customFormat="1">
      <c r="A3" s="264" t="s">
        <v>198</v>
      </c>
      <c r="B3" s="265"/>
      <c r="C3" s="265"/>
      <c r="D3" s="265"/>
      <c r="E3" s="266"/>
      <c r="F3" s="265"/>
      <c r="G3" s="265"/>
    </row>
    <row r="4" spans="1:21" s="267" customFormat="1">
      <c r="B4" s="265"/>
      <c r="C4" s="265"/>
      <c r="D4" s="265"/>
      <c r="E4" s="266"/>
      <c r="F4" s="265"/>
      <c r="G4" s="265"/>
    </row>
    <row r="5" spans="1:21" s="267" customFormat="1">
      <c r="B5" s="268" t="s">
        <v>227</v>
      </c>
      <c r="C5" s="436" t="str">
        <f>CONCATENATE("　大分県",入力!C10," ",入力!D9,入力!D10," ",入力!E9,入力!E10,入力!F10)</f>
        <v>　大分県日田市 大字有田 字佐寺原35</v>
      </c>
      <c r="D5" s="436"/>
      <c r="E5" s="436"/>
      <c r="F5" s="436"/>
      <c r="G5" s="436"/>
    </row>
    <row r="6" spans="1:21" s="267" customFormat="1">
      <c r="B6" s="268" t="s">
        <v>228</v>
      </c>
      <c r="C6" s="436" t="str">
        <f>CONCATENATE("　",入力!G10,"林班　",入力!H10,入力!I10)</f>
        <v>　999林班　9999ｱ</v>
      </c>
      <c r="D6" s="436"/>
      <c r="E6" s="436"/>
      <c r="F6" s="436"/>
      <c r="G6" s="436"/>
    </row>
    <row r="7" spans="1:21" s="267" customFormat="1">
      <c r="B7" s="268" t="s">
        <v>190</v>
      </c>
      <c r="C7" s="269" t="str">
        <f>CONCATENATE("　",入力!C12,"ha")</f>
        <v>　1ha</v>
      </c>
      <c r="D7" s="265"/>
      <c r="E7" s="269"/>
      <c r="F7" s="269"/>
      <c r="G7" s="269"/>
    </row>
    <row r="8" spans="1:21" s="267" customFormat="1">
      <c r="B8" s="268"/>
      <c r="C8" s="268"/>
      <c r="D8" s="268"/>
      <c r="E8" s="268"/>
      <c r="F8" s="265"/>
      <c r="G8" s="265"/>
    </row>
    <row r="9" spans="1:21" s="267" customFormat="1">
      <c r="A9" s="267" t="s">
        <v>199</v>
      </c>
      <c r="B9" s="268"/>
      <c r="C9" s="268"/>
      <c r="D9" s="268"/>
      <c r="E9" s="268"/>
      <c r="F9" s="265"/>
      <c r="G9" s="265"/>
      <c r="I9" s="267" t="s">
        <v>233</v>
      </c>
    </row>
    <row r="10" spans="1:21" s="267" customFormat="1">
      <c r="B10" s="265"/>
      <c r="C10" s="265"/>
      <c r="D10" s="265"/>
      <c r="E10" s="265"/>
      <c r="F10" s="265"/>
      <c r="G10" s="265"/>
    </row>
    <row r="11" spans="1:21" s="267" customFormat="1" ht="12" customHeight="1">
      <c r="B11" s="414" t="s">
        <v>1</v>
      </c>
      <c r="C11" s="414" t="s">
        <v>2</v>
      </c>
      <c r="D11" s="414" t="s">
        <v>3</v>
      </c>
      <c r="E11" s="414" t="s">
        <v>220</v>
      </c>
      <c r="F11" s="414" t="s">
        <v>211</v>
      </c>
      <c r="G11" s="414" t="s">
        <v>221</v>
      </c>
      <c r="H11" s="417"/>
      <c r="J11" s="434" t="s">
        <v>0</v>
      </c>
      <c r="K11" s="434" t="s">
        <v>242</v>
      </c>
      <c r="L11" s="431" t="s">
        <v>68</v>
      </c>
      <c r="M11" s="432"/>
      <c r="N11" s="433"/>
    </row>
    <row r="12" spans="1:21" s="267" customFormat="1">
      <c r="B12" s="272">
        <f>入力!$C$17</f>
        <v>10</v>
      </c>
      <c r="C12" s="273">
        <f>入力!$C$19</f>
        <v>7</v>
      </c>
      <c r="D12" s="273">
        <f>入力!$G$17</f>
        <v>11.133365069221741</v>
      </c>
      <c r="E12" s="274">
        <f>入力!$C$18</f>
        <v>2400</v>
      </c>
      <c r="F12" s="273">
        <f>入力!$G$18</f>
        <v>102.11402709994887</v>
      </c>
      <c r="G12" s="275">
        <f>入力!$G$19</f>
        <v>0.53879479285362786</v>
      </c>
      <c r="H12" s="367"/>
      <c r="J12" s="435"/>
      <c r="K12" s="435"/>
      <c r="L12" s="276" t="s">
        <v>239</v>
      </c>
      <c r="M12" s="277" t="s">
        <v>237</v>
      </c>
      <c r="N12" s="278" t="s">
        <v>238</v>
      </c>
    </row>
    <row r="13" spans="1:21" s="267" customFormat="1">
      <c r="B13" s="265"/>
      <c r="C13" s="265"/>
      <c r="D13" s="265"/>
      <c r="E13" s="265"/>
      <c r="F13" s="265"/>
      <c r="G13" s="265"/>
      <c r="H13" s="265"/>
      <c r="J13" s="275">
        <f>入力!C24</f>
        <v>1.7</v>
      </c>
      <c r="K13" s="272">
        <f>入力!C25</f>
        <v>120</v>
      </c>
      <c r="L13" s="396" t="s">
        <v>240</v>
      </c>
      <c r="M13" s="280" t="s">
        <v>241</v>
      </c>
      <c r="N13" s="281" t="s">
        <v>241</v>
      </c>
    </row>
    <row r="14" spans="1:21" s="267" customFormat="1">
      <c r="A14" s="264" t="s">
        <v>232</v>
      </c>
      <c r="B14" s="265"/>
      <c r="C14" s="265"/>
      <c r="D14" s="265"/>
      <c r="E14" s="265"/>
      <c r="F14" s="265"/>
      <c r="G14" s="265"/>
    </row>
    <row r="15" spans="1:21" s="267" customFormat="1">
      <c r="B15" s="282"/>
      <c r="C15" s="282"/>
      <c r="D15" s="282"/>
      <c r="E15" s="282"/>
      <c r="F15" s="265"/>
      <c r="G15" s="265"/>
    </row>
    <row r="16" spans="1:21" s="283" customFormat="1">
      <c r="B16" s="376" t="s">
        <v>263</v>
      </c>
      <c r="C16" s="284"/>
      <c r="D16" s="284"/>
      <c r="E16" s="284"/>
      <c r="F16" s="285"/>
      <c r="G16" s="285"/>
      <c r="I16" s="283" t="s">
        <v>226</v>
      </c>
    </row>
    <row r="17" spans="2:20" s="267" customFormat="1">
      <c r="B17" s="412" t="s">
        <v>1</v>
      </c>
      <c r="C17" s="412" t="s">
        <v>2</v>
      </c>
      <c r="D17" s="412" t="s">
        <v>3</v>
      </c>
      <c r="E17" s="287" t="s">
        <v>220</v>
      </c>
      <c r="F17" s="412" t="s">
        <v>211</v>
      </c>
      <c r="G17" s="412" t="s">
        <v>32</v>
      </c>
      <c r="I17" s="288"/>
      <c r="J17" s="289"/>
      <c r="K17" s="290"/>
      <c r="L17" s="291"/>
      <c r="M17" s="428" t="s">
        <v>129</v>
      </c>
      <c r="N17" s="428"/>
      <c r="O17" s="428"/>
      <c r="P17" s="428"/>
      <c r="Q17" s="428" t="s">
        <v>130</v>
      </c>
      <c r="R17" s="428"/>
      <c r="S17" s="428" t="s">
        <v>68</v>
      </c>
      <c r="T17" s="428"/>
    </row>
    <row r="18" spans="2:20" s="267" customFormat="1" ht="12" customHeight="1">
      <c r="B18" s="413"/>
      <c r="C18" s="413" t="s">
        <v>244</v>
      </c>
      <c r="D18" s="413" t="s">
        <v>245</v>
      </c>
      <c r="E18" s="293" t="s">
        <v>135</v>
      </c>
      <c r="F18" s="294" t="s">
        <v>253</v>
      </c>
      <c r="G18" s="413"/>
      <c r="I18" s="295"/>
      <c r="J18" s="296" t="s">
        <v>131</v>
      </c>
      <c r="K18" s="297" t="s">
        <v>133</v>
      </c>
      <c r="L18" s="298" t="s">
        <v>132</v>
      </c>
      <c r="M18" s="299" t="s">
        <v>215</v>
      </c>
      <c r="N18" s="300" t="s">
        <v>134</v>
      </c>
      <c r="O18" s="300" t="s">
        <v>3</v>
      </c>
      <c r="P18" s="301" t="s">
        <v>221</v>
      </c>
      <c r="Q18" s="299" t="s">
        <v>220</v>
      </c>
      <c r="R18" s="301" t="s">
        <v>221</v>
      </c>
      <c r="S18" s="299" t="s">
        <v>214</v>
      </c>
      <c r="T18" s="301" t="s">
        <v>134</v>
      </c>
    </row>
    <row r="19" spans="2:20" s="267" customFormat="1" ht="12" customHeight="1">
      <c r="B19" s="302">
        <v>10</v>
      </c>
      <c r="C19" s="303">
        <f>IFERROR(VLOOKUP($B19,'b（手動）計算用'!$E$5:$K$115,3,FALSE),"")</f>
        <v>7.005377668918638</v>
      </c>
      <c r="D19" s="303">
        <f>IFERROR(VLOOKUP($B19,'b（手動）計算用'!$E$5:$K$115,5,FALSE),"")</f>
        <v>11.138932082557449</v>
      </c>
      <c r="E19" s="368">
        <f>IFERROR(VLOOKUP($B19,'b（手動）計算用'!$E$5:$K$115,2,FALSE),"")</f>
        <v>2400</v>
      </c>
      <c r="F19" s="303">
        <f>IFERROR(VLOOKUP($B19,'b（手動）計算用'!$E$5:$K$115,4,FALSE),"")</f>
        <v>102.2800111677394</v>
      </c>
      <c r="G19" s="305">
        <f>IFERROR(VLOOKUP($B19,'b（手動）計算用'!$E$5:$K$115,7,FALSE),"")</f>
        <v>0.53</v>
      </c>
      <c r="I19" s="306"/>
      <c r="J19" s="307"/>
      <c r="K19" s="294" t="s">
        <v>136</v>
      </c>
      <c r="L19" s="308"/>
      <c r="M19" s="369" t="s">
        <v>135</v>
      </c>
      <c r="N19" s="294" t="s">
        <v>253</v>
      </c>
      <c r="O19" s="370" t="s">
        <v>137</v>
      </c>
      <c r="P19" s="308"/>
      <c r="Q19" s="307" t="s">
        <v>135</v>
      </c>
      <c r="R19" s="308"/>
      <c r="S19" s="309" t="s">
        <v>138</v>
      </c>
      <c r="T19" s="294" t="s">
        <v>253</v>
      </c>
    </row>
    <row r="20" spans="2:20" s="267" customFormat="1">
      <c r="B20" s="415">
        <v>15</v>
      </c>
      <c r="C20" s="303">
        <f>IFERROR(VLOOKUP($B20,'b（手動）計算用'!$E$5:$K$115,3,FALSE),"")</f>
        <v>10.290382189294702</v>
      </c>
      <c r="D20" s="303">
        <f>IFERROR(VLOOKUP($B20,'b（手動）計算用'!$E$5:$K$115,5,FALSE),"")</f>
        <v>14.15072273584609</v>
      </c>
      <c r="E20" s="368">
        <f>IFERROR(VLOOKUP($B20,'b（手動）計算用'!$E$5:$K$115,2,FALSE),"")</f>
        <v>2321.3807070057342</v>
      </c>
      <c r="F20" s="303">
        <f>IFERROR(VLOOKUP($B20,'b（手動）計算用'!$E$5:$K$115,4,FALSE),"")</f>
        <v>219.66196464449416</v>
      </c>
      <c r="G20" s="305">
        <f>IFERROR(VLOOKUP($B20,'b（手動）計算用'!$E$5:$K$115,7,FALSE),"")</f>
        <v>0.7</v>
      </c>
      <c r="I20" s="314" t="s">
        <v>139</v>
      </c>
      <c r="J20" s="315">
        <f>入力!$C$17</f>
        <v>10</v>
      </c>
      <c r="K20" s="316">
        <f>入力!$C$19</f>
        <v>7</v>
      </c>
      <c r="L20" s="317"/>
      <c r="M20" s="318">
        <f>入力!$C$18</f>
        <v>2400</v>
      </c>
      <c r="N20" s="319">
        <f>入力!$G$18</f>
        <v>102.11402709994887</v>
      </c>
      <c r="O20" s="320">
        <f>入力!$G$17</f>
        <v>11.133365069221741</v>
      </c>
      <c r="P20" s="321">
        <f>IFERROR(直径材積計算!$X$115,"-")</f>
        <v>0.53879479285362786</v>
      </c>
      <c r="Q20" s="315"/>
      <c r="R20" s="317"/>
      <c r="S20" s="322"/>
      <c r="T20" s="317"/>
    </row>
    <row r="21" spans="2:20" s="267" customFormat="1">
      <c r="B21" s="415">
        <v>20</v>
      </c>
      <c r="C21" s="303">
        <f>IFERROR(VLOOKUP($B21,'b（手動）計算用'!$E$5:$K$115,3,FALSE),"")</f>
        <v>13.261749704127018</v>
      </c>
      <c r="D21" s="303">
        <f>IFERROR(VLOOKUP($B21,'b（手動）計算用'!$E$5:$K$115,5,FALSE),"")</f>
        <v>16.343495164728143</v>
      </c>
      <c r="E21" s="368">
        <f>IFERROR(VLOOKUP($B21,'b（手動）計算用'!$E$5:$K$115,2,FALSE),"")</f>
        <v>2224.7628122291453</v>
      </c>
      <c r="F21" s="303">
        <f>IFERROR(VLOOKUP($B21,'b（手動）計算用'!$E$5:$K$115,4,FALSE),"")</f>
        <v>349.36656442215394</v>
      </c>
      <c r="G21" s="305">
        <f>IFERROR(VLOOKUP($B21,'b（手動）計算用'!$E$5:$K$115,7,FALSE),"")</f>
        <v>0.79</v>
      </c>
      <c r="I21" s="323" t="s">
        <v>118</v>
      </c>
      <c r="J21" s="324">
        <f>IF(入力!H38="","",入力!H38)</f>
        <v>30</v>
      </c>
      <c r="K21" s="325">
        <f>IF(入力!H38="","",VLOOKUP(J21,'b（手動）計算用'!$E$5:$T$115,3,FALSE))</f>
        <v>18.278708131736447</v>
      </c>
      <c r="L21" s="326">
        <f>IF(入力!I38="","",入力!I38)</f>
        <v>0.3</v>
      </c>
      <c r="M21" s="327">
        <f>IF(入力!H38="","",VLOOKUP(J21,'b（手動）計算用'!$E$5:$T$115,2,FALSE))</f>
        <v>2054.2742297248478</v>
      </c>
      <c r="N21" s="328">
        <f>IF(入力!H38="","",VLOOKUP(J21,'b（手動）計算用'!$E$5:$T$115,4,FALSE))</f>
        <v>604.28400076205753</v>
      </c>
      <c r="O21" s="325">
        <f>IF(入力!H38="","",VLOOKUP(J21,'b（手動）計算用'!$E$5:$T$115,5,FALSE))</f>
        <v>19.422304784112736</v>
      </c>
      <c r="P21" s="329">
        <f>IF(入力!H38="","",VLOOKUP(J21,'b（手動）計算用'!$E$5:$T$115,7,FALSE))</f>
        <v>0.9</v>
      </c>
      <c r="Q21" s="327">
        <f>IF(入力!H38="","",VLOOKUP(J21,'b（手動）計算用'!$E$5:$T$115,13,FALSE))</f>
        <v>1434.2742297248478</v>
      </c>
      <c r="R21" s="330">
        <f>IF(入力!H38="","",VLOOKUP(J21,'b（手動）計算用'!$E$5:$T$115,16,FALSE))</f>
        <v>0.79747890681961453</v>
      </c>
      <c r="S21" s="327">
        <f>IF(入力!H38="","",VLOOKUP(J21,'b（手動）計算用'!$E$5:$T$115,8,FALSE))</f>
        <v>620</v>
      </c>
      <c r="T21" s="331">
        <f>IF(入力!H38="","",VLOOKUP(J21,'b（手動）計算用'!$E$5:$T$115,11,FALSE))</f>
        <v>74.351706560826415</v>
      </c>
    </row>
    <row r="22" spans="2:20" s="267" customFormat="1">
      <c r="B22" s="415">
        <v>25</v>
      </c>
      <c r="C22" s="303">
        <f>IFERROR(VLOOKUP($B22,'b（手動）計算用'!$E$5:$K$115,3,FALSE),"")</f>
        <v>15.919929651162615</v>
      </c>
      <c r="D22" s="303">
        <f>IFERROR(VLOOKUP($B22,'b（手動）計算用'!$E$5:$K$115,5,FALSE),"")</f>
        <v>18.04537187006207</v>
      </c>
      <c r="E22" s="368">
        <f>IFERROR(VLOOKUP($B22,'b（手動）計算用'!$E$5:$K$115,2,FALSE),"")</f>
        <v>2134.5439878349262</v>
      </c>
      <c r="F22" s="303">
        <f>IFERROR(VLOOKUP($B22,'b（手動）計算用'!$E$5:$K$115,4,FALSE),"")</f>
        <v>479.64589023952368</v>
      </c>
      <c r="G22" s="305">
        <f>IFERROR(VLOOKUP($B22,'b（手動）計算用'!$E$5:$K$115,7,FALSE),"")</f>
        <v>0.86</v>
      </c>
      <c r="I22" s="323" t="s">
        <v>119</v>
      </c>
      <c r="J22" s="324">
        <f>IF(入力!H39="","",入力!H39)</f>
        <v>40</v>
      </c>
      <c r="K22" s="325">
        <f>IF(入力!H39="","",VLOOKUP(J22,'b（手動）計算用'!$E$5:$T$115,3,FALSE))</f>
        <v>22.183923011010634</v>
      </c>
      <c r="L22" s="326">
        <f>IF(入力!I39="","",入力!I39)</f>
        <v>0.2</v>
      </c>
      <c r="M22" s="327">
        <f>IF(入力!H39="","",VLOOKUP(J22,'b（手動）計算用'!$E$5:$T$115,2,FALSE))</f>
        <v>1434.2742297248478</v>
      </c>
      <c r="N22" s="328">
        <f>IF(入力!H39="","",VLOOKUP(J22,'b（手動）計算用'!$E$5:$T$115,4,FALSE))</f>
        <v>753.03828223992923</v>
      </c>
      <c r="O22" s="325">
        <f>IF(入力!H39="","",VLOOKUP(J22,'b（手動）計算用'!$E$5:$T$115,5,FALSE))</f>
        <v>24.427211647899032</v>
      </c>
      <c r="P22" s="329">
        <f>IF(入力!H39="","",VLOOKUP(J22,'b（手動）計算用'!$E$5:$T$115,7,FALSE))</f>
        <v>0.87</v>
      </c>
      <c r="Q22" s="327">
        <f>IF(入力!H39="","",VLOOKUP(J22,'b（手動）計算用'!$E$5:$T$115,13,FALSE))</f>
        <v>1144.2742297248478</v>
      </c>
      <c r="R22" s="330">
        <f>IF(入力!H39="","",VLOOKUP(J22,'b（手動）計算用'!$E$5:$T$115,16,FALSE))</f>
        <v>0.80881043816601161</v>
      </c>
      <c r="S22" s="327">
        <f>IF(入力!H39="","",VLOOKUP(J22,'b（手動）計算用'!$E$5:$T$115,8,FALSE))</f>
        <v>290</v>
      </c>
      <c r="T22" s="331">
        <f>IF(入力!H39="","",VLOOKUP(J22,'b（手動）計算用'!$E$5:$T$115,11,FALSE))</f>
        <v>60.791051395638647</v>
      </c>
    </row>
    <row r="23" spans="2:20" s="267" customFormat="1">
      <c r="B23" s="415">
        <v>30</v>
      </c>
      <c r="C23" s="303">
        <f>IFERROR(VLOOKUP($B23,'b（手動）計算用'!$E$5:$K$115,3,FALSE),"")</f>
        <v>18.278708131736447</v>
      </c>
      <c r="D23" s="303">
        <f>IFERROR(VLOOKUP($B23,'b（手動）計算用'!$E$5:$K$115,5,FALSE),"")</f>
        <v>19.422304784112736</v>
      </c>
      <c r="E23" s="368">
        <f>IFERROR(VLOOKUP($B23,'b（手動）計算用'!$E$5:$K$115,2,FALSE),"")</f>
        <v>2054.2742297248478</v>
      </c>
      <c r="F23" s="303">
        <f>IFERROR(VLOOKUP($B23,'b（手動）計算用'!$E$5:$K$115,4,FALSE),"")</f>
        <v>604.28400076205753</v>
      </c>
      <c r="G23" s="305">
        <f>IFERROR(VLOOKUP($B23,'b（手動）計算用'!$E$5:$K$115,7,FALSE),"")</f>
        <v>0.9</v>
      </c>
      <c r="I23" s="323" t="s">
        <v>120</v>
      </c>
      <c r="J23" s="324">
        <f>IF(入力!H40="","",入力!H40)</f>
        <v>55</v>
      </c>
      <c r="K23" s="325">
        <f>IF(入力!H40="","",VLOOKUP(J23,'b（手動）計算用'!$E$5:$T$115,3,FALSE))</f>
        <v>26.393136822696903</v>
      </c>
      <c r="L23" s="326">
        <f>IF(入力!I40="","",入力!I40)</f>
        <v>0.2</v>
      </c>
      <c r="M23" s="327">
        <f>IF(入力!H40="","",VLOOKUP(J23,'b（手動）計算用'!$E$5:$T$115,2,FALSE))</f>
        <v>1144.2742297248478</v>
      </c>
      <c r="N23" s="328">
        <f>IF(入力!H40="","",VLOOKUP(J23,'b（手動）計算用'!$E$5:$T$115,4,FALSE))</f>
        <v>947.68302598946764</v>
      </c>
      <c r="O23" s="325">
        <f>IF(入力!H40="","",VLOOKUP(J23,'b（手動）計算用'!$E$5:$T$115,5,FALSE))</f>
        <v>28.746908057465127</v>
      </c>
      <c r="P23" s="329">
        <f>IF(入力!H40="","",VLOOKUP(J23,'b（手動）計算用'!$E$5:$T$115,7,FALSE))</f>
        <v>0.88</v>
      </c>
      <c r="Q23" s="327">
        <f>IF(入力!H40="","",VLOOKUP(J23,'b（手動）計算用'!$E$5:$T$115,13,FALSE))</f>
        <v>914.27422972484783</v>
      </c>
      <c r="R23" s="330">
        <f>IF(入力!H40="","",VLOOKUP(J23,'b（手動）計算用'!$E$5:$T$115,16,FALSE))</f>
        <v>0.81192719070865715</v>
      </c>
      <c r="S23" s="327">
        <f>IF(入力!H40="","",VLOOKUP(J23,'b（手動）計算用'!$E$5:$T$115,8,FALSE))</f>
        <v>230</v>
      </c>
      <c r="T23" s="331">
        <f>IF(入力!H40="","",VLOOKUP(J23,'b（手動）計算用'!$E$5:$T$115,11,FALSE))</f>
        <v>75.6122588893071</v>
      </c>
    </row>
    <row r="24" spans="2:20" s="267" customFormat="1">
      <c r="B24" s="415">
        <v>35</v>
      </c>
      <c r="C24" s="303">
        <f>IFERROR(VLOOKUP($B24,'b（手動）計算用'!$E$5:$K$115,3,FALSE),"")</f>
        <v>20.358566807421841</v>
      </c>
      <c r="D24" s="303">
        <f>IFERROR(VLOOKUP($B24,'b（手動）計算用'!$E$5:$K$115,5,FALSE),"")</f>
        <v>23.551802123586025</v>
      </c>
      <c r="E24" s="368">
        <f>IFERROR(VLOOKUP($B24,'b（手動）計算用'!$E$5:$K$115,2,FALSE),"")</f>
        <v>1434.2742297248478</v>
      </c>
      <c r="F24" s="303">
        <f>IFERROR(VLOOKUP($B24,'b（手動）計算用'!$E$5:$K$115,4,FALSE),"")</f>
        <v>645.6577675810679</v>
      </c>
      <c r="G24" s="305">
        <f>IFERROR(VLOOKUP($B24,'b（手動）計算用'!$E$5:$K$115,7,FALSE),"")</f>
        <v>0.84</v>
      </c>
      <c r="I24" s="323" t="s">
        <v>121</v>
      </c>
      <c r="J24" s="324" t="str">
        <f>IF(入力!H41="","",入力!H41)</f>
        <v/>
      </c>
      <c r="K24" s="325" t="str">
        <f>IF(入力!H41="","",VLOOKUP(J24,'b（手動）計算用'!$E$5:$T$115,3,FALSE))</f>
        <v/>
      </c>
      <c r="L24" s="326" t="str">
        <f>IF(入力!I41="","",入力!I41)</f>
        <v/>
      </c>
      <c r="M24" s="327" t="str">
        <f>IF(入力!H41="","",VLOOKUP(J24,'b（手動）計算用'!$E$5:$T$115,2,FALSE))</f>
        <v/>
      </c>
      <c r="N24" s="328" t="str">
        <f>IF(入力!H41="","",VLOOKUP(J24,'b（手動）計算用'!$E$5:$T$115,4,FALSE))</f>
        <v/>
      </c>
      <c r="O24" s="325" t="str">
        <f>IF(入力!H41="","",VLOOKUP(J24,'b（手動）計算用'!$E$5:$T$115,5,FALSE))</f>
        <v/>
      </c>
      <c r="P24" s="329" t="str">
        <f>IF(入力!H41="","",VLOOKUP(J24,'b（手動）計算用'!$E$5:$T$115,7,FALSE))</f>
        <v/>
      </c>
      <c r="Q24" s="327" t="str">
        <f>IF(入力!H41="","",VLOOKUP(J24,'b（手動）計算用'!$E$5:$T$115,13,FALSE))</f>
        <v/>
      </c>
      <c r="R24" s="330" t="str">
        <f>IF(入力!H41="","",VLOOKUP(J24,'b（手動）計算用'!$E$5:$T$115,16,FALSE))</f>
        <v/>
      </c>
      <c r="S24" s="327" t="str">
        <f>IF(入力!H41="","",VLOOKUP(J24,'b（手動）計算用'!$E$5:$T$115,8,FALSE))</f>
        <v/>
      </c>
      <c r="T24" s="331" t="str">
        <f>IF(入力!H41="","",VLOOKUP(J24,'b（手動）計算用'!$E$5:$T$115,11,FALSE))</f>
        <v/>
      </c>
    </row>
    <row r="25" spans="2:20" s="267" customFormat="1">
      <c r="B25" s="415">
        <v>40</v>
      </c>
      <c r="C25" s="303">
        <f>IFERROR(VLOOKUP($B25,'b（手動）計算用'!$E$5:$K$115,3,FALSE),"")</f>
        <v>22.183923011010634</v>
      </c>
      <c r="D25" s="303">
        <f>IFERROR(VLOOKUP($B25,'b（手動）計算用'!$E$5:$K$115,5,FALSE),"")</f>
        <v>24.427211647899032</v>
      </c>
      <c r="E25" s="368">
        <f>IFERROR(VLOOKUP($B25,'b（手動）計算用'!$E$5:$K$115,2,FALSE),"")</f>
        <v>1434.2742297248478</v>
      </c>
      <c r="F25" s="303">
        <f>IFERROR(VLOOKUP($B25,'b（手動）計算用'!$E$5:$K$115,4,FALSE),"")</f>
        <v>753.03828223992923</v>
      </c>
      <c r="G25" s="305">
        <f>IFERROR(VLOOKUP($B25,'b（手動）計算用'!$E$5:$K$115,7,FALSE),"")</f>
        <v>0.87</v>
      </c>
      <c r="I25" s="323" t="s">
        <v>122</v>
      </c>
      <c r="J25" s="324" t="str">
        <f>IF(入力!H42="","",入力!H42)</f>
        <v/>
      </c>
      <c r="K25" s="325" t="str">
        <f>IF(入力!H42="","",VLOOKUP(J25,'b（手動）計算用'!$E$5:$T$115,3,FALSE))</f>
        <v/>
      </c>
      <c r="L25" s="326" t="str">
        <f>IF(入力!I42="","",入力!I42)</f>
        <v/>
      </c>
      <c r="M25" s="327" t="str">
        <f>IF(入力!H42="","",VLOOKUP(J25,'b（手動）計算用'!$E$5:$T$115,2,FALSE))</f>
        <v/>
      </c>
      <c r="N25" s="328" t="str">
        <f>IF(入力!H42="","",VLOOKUP(J25,'b（手動）計算用'!$E$5:$T$115,4,FALSE))</f>
        <v/>
      </c>
      <c r="O25" s="325" t="str">
        <f>IF(入力!H42="","",VLOOKUP(J25,'b（手動）計算用'!$E$5:$T$115,5,FALSE))</f>
        <v/>
      </c>
      <c r="P25" s="329" t="str">
        <f>IF(入力!H42="","",VLOOKUP(J25,'b（手動）計算用'!$E$5:$T$115,7,FALSE))</f>
        <v/>
      </c>
      <c r="Q25" s="327" t="str">
        <f>IF(入力!H42="","",VLOOKUP(J25,'b（手動）計算用'!$E$5:$T$115,13,FALSE))</f>
        <v/>
      </c>
      <c r="R25" s="330" t="str">
        <f>IF(入力!H42="","",VLOOKUP(J25,'b（手動）計算用'!$E$5:$T$115,16,FALSE))</f>
        <v/>
      </c>
      <c r="S25" s="327" t="str">
        <f>IF(入力!H42="","",VLOOKUP(J25,'b（手動）計算用'!$E$5:$T$115,8,FALSE))</f>
        <v/>
      </c>
      <c r="T25" s="331" t="str">
        <f>IF(入力!H42="","",VLOOKUP(J25,'b（手動）計算用'!$E$5:$T$115,11,FALSE))</f>
        <v/>
      </c>
    </row>
    <row r="26" spans="2:20" s="267" customFormat="1">
      <c r="B26" s="415">
        <v>45</v>
      </c>
      <c r="C26" s="303">
        <f>IFERROR(VLOOKUP($B26,'b（手動）計算用'!$E$5:$K$115,3,FALSE),"")</f>
        <v>23.780979559582203</v>
      </c>
      <c r="D26" s="303">
        <f>IFERROR(VLOOKUP($B26,'b（手動）計算用'!$E$5:$K$115,5,FALSE),"")</f>
        <v>27.509615816911396</v>
      </c>
      <c r="E26" s="368">
        <f>IFERROR(VLOOKUP($B26,'b（手動）計算用'!$E$5:$K$115,2,FALSE),"")</f>
        <v>1144.2742297248478</v>
      </c>
      <c r="F26" s="303">
        <f>IFERROR(VLOOKUP($B26,'b（手動）計算用'!$E$5:$K$115,4,FALSE),"")</f>
        <v>786.15536229490056</v>
      </c>
      <c r="G26" s="305">
        <f>IFERROR(VLOOKUP($B26,'b（手動）計算用'!$E$5:$K$115,7,FALSE),"")</f>
        <v>0.83</v>
      </c>
      <c r="I26" s="323" t="s">
        <v>123</v>
      </c>
      <c r="J26" s="324" t="str">
        <f>IF(入力!H43="","",入力!H43)</f>
        <v/>
      </c>
      <c r="K26" s="325" t="str">
        <f>IF(入力!H43="","",VLOOKUP(J26,'b（手動）計算用'!$E$5:$T$115,3,FALSE))</f>
        <v/>
      </c>
      <c r="L26" s="326" t="str">
        <f>IF(入力!I43="","",入力!I43)</f>
        <v/>
      </c>
      <c r="M26" s="327" t="str">
        <f>IF(入力!H43="","",VLOOKUP(J26,'b（手動）計算用'!$E$5:$T$115,2,FALSE))</f>
        <v/>
      </c>
      <c r="N26" s="328" t="str">
        <f>IF(入力!H43="","",VLOOKUP(J26,'b（手動）計算用'!$E$5:$T$115,4,FALSE))</f>
        <v/>
      </c>
      <c r="O26" s="325" t="str">
        <f>IF(入力!H43="","",VLOOKUP(J26,'b（手動）計算用'!$E$5:$T$115,5,FALSE))</f>
        <v/>
      </c>
      <c r="P26" s="329" t="str">
        <f>IF(入力!H43="","",VLOOKUP(J26,'b（手動）計算用'!$E$5:$T$115,7,FALSE))</f>
        <v/>
      </c>
      <c r="Q26" s="327" t="str">
        <f>IF(入力!H43="","",VLOOKUP(J26,'b（手動）計算用'!$E$5:$T$115,13,FALSE))</f>
        <v/>
      </c>
      <c r="R26" s="330" t="str">
        <f>IF(入力!H43="","",VLOOKUP(J26,'b（手動）計算用'!$E$5:$T$115,16,FALSE))</f>
        <v/>
      </c>
      <c r="S26" s="327" t="str">
        <f>IF(入力!H43="","",VLOOKUP(J26,'b（手動）計算用'!$E$5:$T$115,8,FALSE))</f>
        <v/>
      </c>
      <c r="T26" s="331" t="str">
        <f>IF(入力!H43="","",VLOOKUP(J26,'b（手動）計算用'!$E$5:$T$115,11,FALSE))</f>
        <v/>
      </c>
    </row>
    <row r="27" spans="2:20" s="267" customFormat="1">
      <c r="B27" s="415">
        <v>50</v>
      </c>
      <c r="C27" s="303">
        <f>IFERROR(VLOOKUP($B27,'b（手動）計算用'!$E$5:$K$115,3,FALSE),"")</f>
        <v>25.175839841701567</v>
      </c>
      <c r="D27" s="303">
        <f>IFERROR(VLOOKUP($B27,'b（手動）計算用'!$E$5:$K$115,5,FALSE),"")</f>
        <v>28.189344270051308</v>
      </c>
      <c r="E27" s="368">
        <f>IFERROR(VLOOKUP($B27,'b（手動）計算用'!$E$5:$K$115,2,FALSE),"")</f>
        <v>1144.2742297248478</v>
      </c>
      <c r="F27" s="303">
        <f>IFERROR(VLOOKUP($B27,'b（手動）計算用'!$E$5:$K$115,4,FALSE),"")</f>
        <v>871.23999755514399</v>
      </c>
      <c r="G27" s="305">
        <f>IFERROR(VLOOKUP($B27,'b（手動）計算用'!$E$5:$K$115,7,FALSE),"")</f>
        <v>0.86</v>
      </c>
      <c r="I27" s="323" t="s">
        <v>124</v>
      </c>
      <c r="J27" s="324" t="str">
        <f>IF(入力!H44="","",入力!H44)</f>
        <v/>
      </c>
      <c r="K27" s="325" t="str">
        <f>IF(入力!H44="","",VLOOKUP(J27,'b（手動）計算用'!$E$5:$T$115,3,FALSE))</f>
        <v/>
      </c>
      <c r="L27" s="326" t="str">
        <f>IF(入力!I44="","",入力!I44)</f>
        <v/>
      </c>
      <c r="M27" s="327" t="str">
        <f>IF(入力!H44="","",VLOOKUP(J27,'b（手動）計算用'!$E$5:$T$115,2,FALSE))</f>
        <v/>
      </c>
      <c r="N27" s="328" t="str">
        <f>IF(入力!H44="","",VLOOKUP(J27,'b（手動）計算用'!$E$5:$T$115,4,FALSE))</f>
        <v/>
      </c>
      <c r="O27" s="325" t="str">
        <f>IF(入力!H44="","",VLOOKUP(J27,'b（手動）計算用'!$E$5:$T$115,5,FALSE))</f>
        <v/>
      </c>
      <c r="P27" s="329" t="str">
        <f>IF(入力!H44="","",VLOOKUP(J27,'b（手動）計算用'!$E$5:$T$115,7,FALSE))</f>
        <v/>
      </c>
      <c r="Q27" s="327" t="str">
        <f>IF(入力!H44="","",VLOOKUP(J27,'b（手動）計算用'!$E$5:$T$115,13,FALSE))</f>
        <v/>
      </c>
      <c r="R27" s="330" t="str">
        <f>IF(入力!H44="","",VLOOKUP(J27,'b（手動）計算用'!$E$5:$T$115,16,FALSE))</f>
        <v/>
      </c>
      <c r="S27" s="327" t="str">
        <f>IF(入力!H44="","",VLOOKUP(J27,'b（手動）計算用'!$E$5:$T$115,8,FALSE))</f>
        <v/>
      </c>
      <c r="T27" s="331" t="str">
        <f>IF(入力!H44="","",VLOOKUP(J27,'b（手動）計算用'!$E$5:$T$115,11,FALSE))</f>
        <v/>
      </c>
    </row>
    <row r="28" spans="2:20" s="267" customFormat="1">
      <c r="B28" s="415">
        <v>55</v>
      </c>
      <c r="C28" s="303">
        <f>IFERROR(VLOOKUP($B28,'b（手動）計算用'!$E$5:$K$115,3,FALSE),"")</f>
        <v>26.393136822696903</v>
      </c>
      <c r="D28" s="303">
        <f>IFERROR(VLOOKUP($B28,'b（手動）計算用'!$E$5:$K$115,5,FALSE),"")</f>
        <v>28.746908057465127</v>
      </c>
      <c r="E28" s="368">
        <f>IFERROR(VLOOKUP($B28,'b（手動）計算用'!$E$5:$K$115,2,FALSE),"")</f>
        <v>1144.2742297248478</v>
      </c>
      <c r="F28" s="303">
        <f>IFERROR(VLOOKUP($B28,'b（手動）計算用'!$E$5:$K$115,4,FALSE),"")</f>
        <v>947.68302598946764</v>
      </c>
      <c r="G28" s="305">
        <f>IFERROR(VLOOKUP($B28,'b（手動）計算用'!$E$5:$K$115,7,FALSE),"")</f>
        <v>0.88</v>
      </c>
      <c r="I28" s="323" t="s">
        <v>125</v>
      </c>
      <c r="J28" s="324" t="str">
        <f>IF(入力!H45="","",入力!H45)</f>
        <v/>
      </c>
      <c r="K28" s="325" t="str">
        <f>IF(入力!H45="","",VLOOKUP(J28,'b（手動）計算用'!$E$5:$T$115,3,FALSE))</f>
        <v/>
      </c>
      <c r="L28" s="326" t="str">
        <f>IF(入力!I45="","",入力!I45)</f>
        <v/>
      </c>
      <c r="M28" s="327" t="str">
        <f>IF(入力!H45="","",VLOOKUP(J28,'b（手動）計算用'!$E$5:$T$115,2,FALSE))</f>
        <v/>
      </c>
      <c r="N28" s="328" t="str">
        <f>IF(入力!H45="","",VLOOKUP(J28,'b（手動）計算用'!$E$5:$T$115,4,FALSE))</f>
        <v/>
      </c>
      <c r="O28" s="325" t="str">
        <f>IF(入力!H45="","",VLOOKUP(J28,'b（手動）計算用'!$E$5:$T$115,5,FALSE))</f>
        <v/>
      </c>
      <c r="P28" s="329" t="str">
        <f>IF(入力!H45="","",VLOOKUP(J28,'b（手動）計算用'!$E$5:$T$115,7,FALSE))</f>
        <v/>
      </c>
      <c r="Q28" s="327" t="str">
        <f>IF(入力!H45="","",VLOOKUP(J28,'b（手動）計算用'!$E$5:$T$115,13,FALSE))</f>
        <v/>
      </c>
      <c r="R28" s="330" t="str">
        <f>IF(入力!H45="","",VLOOKUP(J28,'b（手動）計算用'!$E$5:$T$115,16,FALSE))</f>
        <v/>
      </c>
      <c r="S28" s="327" t="str">
        <f>IF(入力!H45="","",VLOOKUP(J28,'b（手動）計算用'!$E$5:$T$115,8,FALSE))</f>
        <v/>
      </c>
      <c r="T28" s="331" t="str">
        <f>IF(入力!H45="","",VLOOKUP(J28,'b（手動）計算用'!$E$5:$T$115,11,FALSE))</f>
        <v/>
      </c>
    </row>
    <row r="29" spans="2:20" s="267" customFormat="1">
      <c r="B29" s="415">
        <v>60</v>
      </c>
      <c r="C29" s="303">
        <f>IFERROR(VLOOKUP($B29,'b（手動）計算用'!$E$5:$K$115,3,FALSE),"")</f>
        <v>27.455270862155562</v>
      </c>
      <c r="D29" s="303">
        <f>IFERROR(VLOOKUP($B29,'b（手動）計算用'!$E$5:$K$115,5,FALSE),"")</f>
        <v>31.890739177455135</v>
      </c>
      <c r="E29" s="368">
        <f>IFERROR(VLOOKUP($B29,'b（手動）計算用'!$E$5:$K$115,2,FALSE),"")</f>
        <v>914.27422972484783</v>
      </c>
      <c r="F29" s="303">
        <f>IFERROR(VLOOKUP($B29,'b（手動）計算用'!$E$5:$K$115,4,FALSE),"")</f>
        <v>937.48501134342212</v>
      </c>
      <c r="G29" s="305">
        <f>IFERROR(VLOOKUP($B29,'b（手動）計算用'!$E$5:$K$115,7,FALSE),"")</f>
        <v>0.82</v>
      </c>
      <c r="I29" s="323" t="s">
        <v>126</v>
      </c>
      <c r="J29" s="324" t="str">
        <f>IF(入力!H46="","",入力!H46)</f>
        <v/>
      </c>
      <c r="K29" s="325" t="str">
        <f>IF(入力!H46="","",VLOOKUP(J29,'b（手動）計算用'!$E$5:$T$115,3,FALSE))</f>
        <v/>
      </c>
      <c r="L29" s="326" t="str">
        <f>IF(入力!I46="","",入力!I46)</f>
        <v/>
      </c>
      <c r="M29" s="327" t="str">
        <f>IF(入力!H46="","",VLOOKUP(J29,'b（手動）計算用'!$E$5:$T$115,2,FALSE))</f>
        <v/>
      </c>
      <c r="N29" s="328" t="str">
        <f>IF(入力!H46="","",VLOOKUP(J29,'b（手動）計算用'!$E$5:$T$115,4,FALSE))</f>
        <v/>
      </c>
      <c r="O29" s="325" t="str">
        <f>IF(入力!H46="","",VLOOKUP(J29,'b（手動）計算用'!$E$5:$T$115,5,FALSE))</f>
        <v/>
      </c>
      <c r="P29" s="329" t="str">
        <f>IF(入力!H46="","",VLOOKUP(J29,'b（手動）計算用'!$E$5:$T$115,7,FALSE))</f>
        <v/>
      </c>
      <c r="Q29" s="327" t="str">
        <f>IF(入力!H46="","",VLOOKUP(J29,'b（手動）計算用'!$E$5:$T$115,13,FALSE))</f>
        <v/>
      </c>
      <c r="R29" s="330" t="str">
        <f>IF(入力!H46="","",VLOOKUP(J29,'b（手動）計算用'!$E$5:$T$115,16,FALSE))</f>
        <v/>
      </c>
      <c r="S29" s="327" t="str">
        <f>IF(入力!H46="","",VLOOKUP(J29,'b（手動）計算用'!$E$5:$T$115,8,FALSE))</f>
        <v/>
      </c>
      <c r="T29" s="331" t="str">
        <f>IF(入力!H46="","",VLOOKUP(J29,'b（手動）計算用'!$E$5:$T$115,11,FALSE))</f>
        <v/>
      </c>
    </row>
    <row r="30" spans="2:20" s="267" customFormat="1">
      <c r="B30" s="415">
        <v>65</v>
      </c>
      <c r="C30" s="303">
        <f>IFERROR(VLOOKUP($B30,'b（手動）計算用'!$E$5:$K$115,3,FALSE),"")</f>
        <v>28.382142898926077</v>
      </c>
      <c r="D30" s="303">
        <f>IFERROR(VLOOKUP($B30,'b（手動）計算用'!$E$5:$K$115,5,FALSE),"")</f>
        <v>32.353200745050863</v>
      </c>
      <c r="E30" s="368">
        <f>IFERROR(VLOOKUP($B30,'b（手動）計算用'!$E$5:$K$115,2,FALSE),"")</f>
        <v>914.27422972484783</v>
      </c>
      <c r="F30" s="303">
        <f>IFERROR(VLOOKUP($B30,'b（手動）計算用'!$E$5:$K$115,4,FALSE),"")</f>
        <v>995.80436160353179</v>
      </c>
      <c r="G30" s="305">
        <f>IFERROR(VLOOKUP($B30,'b（手動）計算用'!$E$5:$K$115,7,FALSE),"")</f>
        <v>0.84</v>
      </c>
      <c r="I30" s="332" t="s">
        <v>127</v>
      </c>
      <c r="J30" s="333" t="str">
        <f>IF(入力!H47="","",入力!H47)</f>
        <v/>
      </c>
      <c r="K30" s="334" t="str">
        <f>IF(入力!H47="","",VLOOKUP(J30,'b（手動）計算用'!$E$5:$T$115,3,FALSE))</f>
        <v/>
      </c>
      <c r="L30" s="335" t="str">
        <f>IF(入力!I47="","",入力!I47)</f>
        <v/>
      </c>
      <c r="M30" s="336" t="str">
        <f>IF(入力!H47="","",VLOOKUP(J30,'b（手動）計算用'!$E$5:$T$115,2,FALSE))</f>
        <v/>
      </c>
      <c r="N30" s="337" t="str">
        <f>IF(入力!H47="","",VLOOKUP(J30,'b（手動）計算用'!$E$5:$T$115,4,FALSE))</f>
        <v/>
      </c>
      <c r="O30" s="334" t="str">
        <f>IF(入力!H47="","",VLOOKUP(J30,'b（手動）計算用'!$E$5:$T$115,5,FALSE))</f>
        <v/>
      </c>
      <c r="P30" s="338" t="str">
        <f>IF(入力!H47="","",VLOOKUP(J30,'b（手動）計算用'!$E$5:$T$115,7,FALSE))</f>
        <v/>
      </c>
      <c r="Q30" s="336" t="str">
        <f>IF(入力!H47="","",VLOOKUP(J30,'b（手動）計算用'!$E$5:$T$115,13,FALSE))</f>
        <v/>
      </c>
      <c r="R30" s="339" t="str">
        <f>IF(入力!H47="","",VLOOKUP(J30,'b（手動）計算用'!$E$5:$T$115,16,FALSE))</f>
        <v/>
      </c>
      <c r="S30" s="336" t="str">
        <f>IF(入力!H47="","",VLOOKUP(J30,'b（手動）計算用'!$E$5:$T$115,8,FALSE))</f>
        <v/>
      </c>
      <c r="T30" s="340" t="str">
        <f>IF(入力!H47="","",VLOOKUP(J30,'b（手動）計算用'!$E$5:$T$115,11,FALSE))</f>
        <v/>
      </c>
    </row>
    <row r="31" spans="2:20" s="267" customFormat="1">
      <c r="B31" s="415">
        <v>70</v>
      </c>
      <c r="C31" s="303">
        <f>IFERROR(VLOOKUP($B31,'b（手動）計算用'!$E$5:$K$115,3,FALSE),"")</f>
        <v>29.191199120888513</v>
      </c>
      <c r="D31" s="303">
        <f>IFERROR(VLOOKUP($B31,'b（手動）計算用'!$E$5:$K$115,5,FALSE),"")</f>
        <v>32.742686276885834</v>
      </c>
      <c r="E31" s="368">
        <f>IFERROR(VLOOKUP($B31,'b（手動）計算用'!$E$5:$K$115,2,FALSE),"")</f>
        <v>914.27422972484783</v>
      </c>
      <c r="F31" s="303">
        <f>IFERROR(VLOOKUP($B31,'b（手動）計算用'!$E$5:$K$115,4,FALSE),"")</f>
        <v>1047.6174790236453</v>
      </c>
      <c r="G31" s="305">
        <f>IFERROR(VLOOKUP($B31,'b（手動）計算用'!$E$5:$K$115,7,FALSE),"")</f>
        <v>0.85</v>
      </c>
      <c r="I31" s="341" t="s">
        <v>140</v>
      </c>
      <c r="J31" s="342">
        <f>IF(入力!H48="",MAX(J21:J30),入力!H48)</f>
        <v>120</v>
      </c>
      <c r="K31" s="343">
        <f>IF(入力!H48="","",VLOOKUP(J31,'b（手動）計算用'!$E$5:$T$115,3,FALSE))</f>
        <v>33.335489779502211</v>
      </c>
      <c r="L31" s="344"/>
      <c r="M31" s="345">
        <f>IF(入力!H48="","",VLOOKUP(J31,'b（手動）計算用'!$E$5:$T$115,2,FALSE))</f>
        <v>914.27422972484783</v>
      </c>
      <c r="N31" s="346">
        <f>IF(入力!H48="","",VLOOKUP(J31,'b（手動）計算用'!$E$5:$T$115,4,FALSE))</f>
        <v>1325.3314297834042</v>
      </c>
      <c r="O31" s="343">
        <f>IF(入力!H48="","",VLOOKUP(J31,'b（手動）計算用'!$E$5:$T$115,5,FALSE))</f>
        <v>34.553949826257373</v>
      </c>
      <c r="P31" s="347"/>
      <c r="Q31" s="348"/>
      <c r="R31" s="349"/>
      <c r="S31" s="350" t="s">
        <v>225</v>
      </c>
      <c r="T31" s="351">
        <f>SUM(T21:T30)</f>
        <v>210.75501684577216</v>
      </c>
    </row>
    <row r="32" spans="2:20" s="267" customFormat="1">
      <c r="B32" s="415">
        <v>75</v>
      </c>
      <c r="C32" s="303">
        <f>IFERROR(VLOOKUP($B32,'b（手動）計算用'!$E$5:$K$115,3,FALSE),"")</f>
        <v>29.897631157755349</v>
      </c>
      <c r="D32" s="303">
        <f>IFERROR(VLOOKUP($B32,'b（手動）計算用'!$E$5:$K$115,5,FALSE),"")</f>
        <v>33.072496687320559</v>
      </c>
      <c r="E32" s="368">
        <f>IFERROR(VLOOKUP($B32,'b（手動）計算用'!$E$5:$K$115,2,FALSE),"")</f>
        <v>914.27422972484783</v>
      </c>
      <c r="F32" s="303">
        <f>IFERROR(VLOOKUP($B32,'b（手動）計算用'!$E$5:$K$115,4,FALSE),"")</f>
        <v>1093.5279885767359</v>
      </c>
      <c r="G32" s="305">
        <f>IFERROR(VLOOKUP($B32,'b（手動）計算用'!$E$5:$K$115,7,FALSE),"")</f>
        <v>0.86</v>
      </c>
      <c r="I32" s="418"/>
      <c r="J32" s="427" t="str">
        <f>CONCATENATE(" ",J31,"年生",C7,"の時の主伐材積：",ROUND(N31*入力!$C$12,0),"㎥","、間伐材積：",ROUND(T31*入力!$C$12,0),"㎥")</f>
        <v xml:space="preserve"> 120年生　1haの時の主伐材積：1325㎥、間伐材積：211㎥</v>
      </c>
      <c r="K32" s="427"/>
      <c r="L32" s="427"/>
      <c r="M32" s="427"/>
      <c r="N32" s="427"/>
      <c r="O32" s="427"/>
      <c r="P32" s="427"/>
      <c r="Q32" s="427"/>
      <c r="R32" s="427"/>
      <c r="S32" s="427"/>
      <c r="T32" s="427"/>
    </row>
    <row r="33" spans="1:7" s="267" customFormat="1">
      <c r="B33" s="415">
        <v>80</v>
      </c>
      <c r="C33" s="303">
        <f>IFERROR(VLOOKUP($B33,'b（手動）計算用'!$E$5:$K$115,3,FALSE),"")</f>
        <v>30.514631570930302</v>
      </c>
      <c r="D33" s="303">
        <f>IFERROR(VLOOKUP($B33,'b（手動）計算用'!$E$5:$K$115,5,FALSE),"")</f>
        <v>33.353062403968352</v>
      </c>
      <c r="E33" s="368">
        <f>IFERROR(VLOOKUP($B33,'b（手動）計算用'!$E$5:$K$115,2,FALSE),"")</f>
        <v>914.27422972484783</v>
      </c>
      <c r="F33" s="303">
        <f>IFERROR(VLOOKUP($B33,'b（手動）計算用'!$E$5:$K$115,4,FALSE),"")</f>
        <v>1134.1234003799025</v>
      </c>
      <c r="G33" s="305">
        <f>IFERROR(VLOOKUP($B33,'b（手動）計算用'!$E$5:$K$115,7,FALSE),"")</f>
        <v>0.87</v>
      </c>
    </row>
    <row r="34" spans="1:7" s="267" customFormat="1">
      <c r="B34" s="415">
        <v>85</v>
      </c>
      <c r="C34" s="303">
        <f>IFERROR(VLOOKUP($B34,'b（手動）計算用'!$E$5:$K$115,3,FALSE),"")</f>
        <v>31.053651329577239</v>
      </c>
      <c r="D34" s="303">
        <f>IFERROR(VLOOKUP($B34,'b（手動）計算用'!$E$5:$K$115,5,FALSE),"")</f>
        <v>33.592667046640045</v>
      </c>
      <c r="E34" s="368">
        <f>IFERROR(VLOOKUP($B34,'b（手動）計算用'!$E$5:$K$115,2,FALSE),"")</f>
        <v>914.27422972484783</v>
      </c>
      <c r="F34" s="303">
        <f>IFERROR(VLOOKUP($B34,'b（手動）計算用'!$E$5:$K$115,4,FALSE),"")</f>
        <v>1169.9586042453445</v>
      </c>
      <c r="G34" s="305">
        <f>IFERROR(VLOOKUP($B34,'b（手動）計算用'!$E$5:$K$115,7,FALSE),"")</f>
        <v>0.88</v>
      </c>
    </row>
    <row r="35" spans="1:7" s="267" customFormat="1">
      <c r="B35" s="415">
        <v>90</v>
      </c>
      <c r="C35" s="303">
        <f>IFERROR(VLOOKUP($B35,'b（手動）計算用'!$E$5:$K$115,3,FALSE),"")</f>
        <v>31.52463577874099</v>
      </c>
      <c r="D35" s="303">
        <f>IFERROR(VLOOKUP($B35,'b（手動）計算用'!$E$5:$K$115,5,FALSE),"")</f>
        <v>33.797966223996639</v>
      </c>
      <c r="E35" s="368">
        <f>IFERROR(VLOOKUP($B35,'b（手動）計算用'!$E$5:$K$115,2,FALSE),"")</f>
        <v>914.27422972484783</v>
      </c>
      <c r="F35" s="303">
        <f>IFERROR(VLOOKUP($B35,'b（手動）計算用'!$E$5:$K$115,4,FALSE),"")</f>
        <v>1201.5479094121258</v>
      </c>
      <c r="G35" s="305">
        <f>IFERROR(VLOOKUP($B35,'b（手動）計算用'!$E$5:$K$115,7,FALSE),"")</f>
        <v>0.88</v>
      </c>
    </row>
    <row r="36" spans="1:7" s="267" customFormat="1">
      <c r="B36" s="415">
        <v>95</v>
      </c>
      <c r="C36" s="303">
        <f>IFERROR(VLOOKUP($B36,'b（手動）計算用'!$E$5:$K$115,3,FALSE),"")</f>
        <v>31.936231631986093</v>
      </c>
      <c r="D36" s="303">
        <f>IFERROR(VLOOKUP($B36,'b（手動）計算用'!$E$5:$K$115,5,FALSE),"")</f>
        <v>33.974363919594246</v>
      </c>
      <c r="E36" s="368">
        <f>IFERROR(VLOOKUP($B36,'b（手動）計算用'!$E$5:$K$115,2,FALSE),"")</f>
        <v>914.27422972484783</v>
      </c>
      <c r="F36" s="303">
        <f>IFERROR(VLOOKUP($B36,'b（手動）計算用'!$E$5:$K$115,4,FALSE),"")</f>
        <v>1229.3620584838163</v>
      </c>
      <c r="G36" s="305">
        <f>IFERROR(VLOOKUP($B36,'b（手動）計算用'!$E$5:$K$115,7,FALSE),"")</f>
        <v>0.89</v>
      </c>
    </row>
    <row r="37" spans="1:7" s="267" customFormat="1">
      <c r="B37" s="415">
        <v>100</v>
      </c>
      <c r="C37" s="303">
        <f>IFERROR(VLOOKUP($B37,'b（手動）計算用'!$E$5:$K$115,3,FALSE),"")</f>
        <v>32.295965004303454</v>
      </c>
      <c r="D37" s="303">
        <f>IFERROR(VLOOKUP($B37,'b（手動）計算用'!$E$5:$K$115,5,FALSE),"")</f>
        <v>34.126289109021592</v>
      </c>
      <c r="E37" s="368">
        <f>IFERROR(VLOOKUP($B37,'b（手動）計算用'!$E$5:$K$115,2,FALSE),"")</f>
        <v>914.27422972484783</v>
      </c>
      <c r="F37" s="303">
        <f>IFERROR(VLOOKUP($B37,'b（手動）計算用'!$E$5:$K$115,4,FALSE),"")</f>
        <v>1253.8281176396088</v>
      </c>
      <c r="G37" s="305">
        <f>IFERROR(VLOOKUP($B37,'b（手動）計算用'!$E$5:$K$115,7,FALSE),"")</f>
        <v>0.89</v>
      </c>
    </row>
    <row r="38" spans="1:7" s="267" customFormat="1">
      <c r="B38" s="415">
        <v>105</v>
      </c>
      <c r="C38" s="303">
        <f>IFERROR(VLOOKUP($B38,'b（手動）計算用'!$E$5:$K$115,3,FALSE),"")</f>
        <v>32.610393421542035</v>
      </c>
      <c r="D38" s="303">
        <f>IFERROR(VLOOKUP($B38,'b（手動）計算用'!$E$5:$K$115,5,FALSE),"")</f>
        <v>34.257401791260442</v>
      </c>
      <c r="E38" s="368">
        <f>IFERROR(VLOOKUP($B38,'b（手動）計算用'!$E$5:$K$115,2,FALSE),"")</f>
        <v>914.27422972484783</v>
      </c>
      <c r="F38" s="303">
        <f>IFERROR(VLOOKUP($B38,'b（手動）計算用'!$E$5:$K$115,4,FALSE),"")</f>
        <v>1275.3310048885899</v>
      </c>
      <c r="G38" s="305">
        <f>IFERROR(VLOOKUP($B38,'b（手動）計算用'!$E$5:$K$115,7,FALSE),"")</f>
        <v>0.9</v>
      </c>
    </row>
    <row r="39" spans="1:7" s="267" customFormat="1">
      <c r="B39" s="415">
        <v>110</v>
      </c>
      <c r="C39" s="303">
        <f>IFERROR(VLOOKUP($B39,'b（手動）計算用'!$E$5:$K$115,3,FALSE),"")</f>
        <v>32.885235490956617</v>
      </c>
      <c r="D39" s="303">
        <f>IFERROR(VLOOKUP($B39,'b（手動）計算用'!$E$5:$K$115,5,FALSE),"")</f>
        <v>34.370748513622367</v>
      </c>
      <c r="E39" s="368">
        <f>IFERROR(VLOOKUP($B39,'b（手動）計算用'!$E$5:$K$115,2,FALSE),"")</f>
        <v>914.27422972484783</v>
      </c>
      <c r="F39" s="303">
        <f>IFERROR(VLOOKUP($B39,'b（手動）計算用'!$E$5:$K$115,4,FALSE),"")</f>
        <v>1294.2159167233617</v>
      </c>
      <c r="G39" s="305">
        <f>IFERROR(VLOOKUP($B39,'b（手動）計算用'!$E$5:$K$115,7,FALSE),"")</f>
        <v>0.9</v>
      </c>
    </row>
    <row r="40" spans="1:7" s="267" customFormat="1">
      <c r="B40" s="415">
        <v>115</v>
      </c>
      <c r="C40" s="303">
        <f>IFERROR(VLOOKUP($B40,'b（手動）計算用'!$E$5:$K$115,3,FALSE),"")</f>
        <v>33.1254817548188</v>
      </c>
      <c r="D40" s="303">
        <f>IFERROR(VLOOKUP($B40,'b（手動）計算用'!$E$5:$K$115,5,FALSE),"")</f>
        <v>34.468881313684811</v>
      </c>
      <c r="E40" s="368">
        <f>IFERROR(VLOOKUP($B40,'b（手動）計算用'!$E$5:$K$115,2,FALSE),"")</f>
        <v>914.27422972484783</v>
      </c>
      <c r="F40" s="303">
        <f>IFERROR(VLOOKUP($B40,'b（手動）計算用'!$E$5:$K$115,4,FALSE),"")</f>
        <v>1310.7912050489779</v>
      </c>
      <c r="G40" s="305">
        <f>IFERROR(VLOOKUP($B40,'b（手動）計算用'!$E$5:$K$115,7,FALSE),"")</f>
        <v>0.9</v>
      </c>
    </row>
    <row r="41" spans="1:7" s="267" customFormat="1">
      <c r="B41" s="353">
        <v>120</v>
      </c>
      <c r="C41" s="354">
        <f>IFERROR(VLOOKUP($B41,'b（手動）計算用'!$E$5:$K$115,3,FALSE),"")</f>
        <v>33.335489779502211</v>
      </c>
      <c r="D41" s="354">
        <f>IFERROR(VLOOKUP($B41,'b（手動）計算用'!$E$5:$K$115,5,FALSE),"")</f>
        <v>34.553949826257373</v>
      </c>
      <c r="E41" s="371">
        <f>IFERROR(VLOOKUP($B41,'b（手動）計算用'!$E$5:$K$115,2,FALSE),"")</f>
        <v>914.27422972484783</v>
      </c>
      <c r="F41" s="354">
        <f>IFERROR(VLOOKUP($B41,'b（手動）計算用'!$E$5:$K$115,4,FALSE),"")</f>
        <v>1325.3314297834042</v>
      </c>
      <c r="G41" s="356">
        <f>IFERROR(VLOOKUP($B41,'b（手動）計算用'!$E$5:$K$115,7,FALSE),"")</f>
        <v>0.9</v>
      </c>
    </row>
    <row r="42" spans="1:7" s="267" customFormat="1">
      <c r="A42" s="357" t="s">
        <v>224</v>
      </c>
      <c r="B42" s="372">
        <f>入力!C25</f>
        <v>120</v>
      </c>
      <c r="C42" s="373">
        <f>IFERROR(VLOOKUP($B42,'b（手動）計算用'!$E$5:$K$115,3,FALSE),"")</f>
        <v>33.335489779502211</v>
      </c>
      <c r="D42" s="373">
        <f>IFERROR(VLOOKUP($B42,'b（手動）計算用'!$E$5:$K$115,5,FALSE),"")</f>
        <v>34.553949826257373</v>
      </c>
      <c r="E42" s="374">
        <f>IFERROR(VLOOKUP($B42,'b（手動）計算用'!$E$5:$K$115,2,FALSE),"")</f>
        <v>914.27422972484783</v>
      </c>
      <c r="F42" s="373">
        <f>IFERROR(VLOOKUP($B42,'b（手動）計算用'!$E$5:$K$115,4,FALSE),"")</f>
        <v>1325.3314297834042</v>
      </c>
      <c r="G42" s="375">
        <f>IFERROR(VLOOKUP($B42,'b（手動）計算用'!$E$5:$K$115,7,FALSE),"")</f>
        <v>0.9</v>
      </c>
    </row>
    <row r="43" spans="1:7" s="267" customFormat="1">
      <c r="B43" s="265"/>
      <c r="C43" s="265"/>
      <c r="D43" s="265"/>
      <c r="E43" s="265"/>
      <c r="F43" s="265"/>
      <c r="G43" s="265"/>
    </row>
    <row r="44" spans="1:7" s="267" customFormat="1">
      <c r="B44" s="265"/>
      <c r="C44" s="265"/>
      <c r="D44" s="265"/>
      <c r="E44" s="265"/>
      <c r="F44" s="265"/>
      <c r="G44" s="265"/>
    </row>
  </sheetData>
  <sheetProtection password="F089" sheet="1" objects="1" scenarios="1"/>
  <mergeCells count="11">
    <mergeCell ref="J32:T32"/>
    <mergeCell ref="C5:G5"/>
    <mergeCell ref="C6:G6"/>
    <mergeCell ref="A1:T1"/>
    <mergeCell ref="S2:T2"/>
    <mergeCell ref="S17:T17"/>
    <mergeCell ref="J11:J12"/>
    <mergeCell ref="K11:K12"/>
    <mergeCell ref="L11:N11"/>
    <mergeCell ref="M17:P17"/>
    <mergeCell ref="Q17:R17"/>
  </mergeCells>
  <phoneticPr fontId="1"/>
  <printOptions horizontalCentered="1" verticalCentered="1"/>
  <pageMargins left="0.70866141732283472" right="0.70866141732283472" top="0.74803149606299213" bottom="0.74803149606299213" header="0.31496062992125984" footer="0.31496062992125984"/>
  <pageSetup paperSize="9" scale="9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M117"/>
  <sheetViews>
    <sheetView zoomScaleNormal="100" zoomScaleSheetLayoutView="100" workbookViewId="0">
      <pane ySplit="6" topLeftCell="A7" activePane="bottomLeft" state="frozen"/>
      <selection activeCell="P26" sqref="P26"/>
      <selection pane="bottomLeft" sqref="A1:C2"/>
    </sheetView>
  </sheetViews>
  <sheetFormatPr defaultRowHeight="12"/>
  <cols>
    <col min="1" max="12" width="10.625" style="265" customWidth="1"/>
    <col min="13" max="16384" width="9" style="227"/>
  </cols>
  <sheetData>
    <row r="1" spans="1:13" ht="13.5" customHeight="1">
      <c r="A1" s="439" t="s">
        <v>265</v>
      </c>
      <c r="B1" s="440"/>
      <c r="C1" s="441"/>
      <c r="D1" s="285"/>
      <c r="E1" s="449" t="str">
        <f>'a（自動）計算用'!B1</f>
        <v>樹種</v>
      </c>
      <c r="F1" s="286" t="s">
        <v>1</v>
      </c>
      <c r="G1" s="286" t="s">
        <v>242</v>
      </c>
      <c r="H1" s="437" t="s">
        <v>0</v>
      </c>
      <c r="I1" s="431" t="s">
        <v>68</v>
      </c>
      <c r="J1" s="432"/>
      <c r="K1" s="433"/>
      <c r="L1" s="377" t="s">
        <v>71</v>
      </c>
      <c r="M1" s="226"/>
    </row>
    <row r="2" spans="1:13" ht="13.5" customHeight="1">
      <c r="A2" s="442"/>
      <c r="B2" s="443"/>
      <c r="C2" s="444"/>
      <c r="D2" s="285"/>
      <c r="E2" s="450"/>
      <c r="F2" s="302" t="s">
        <v>254</v>
      </c>
      <c r="G2" s="302" t="s">
        <v>254</v>
      </c>
      <c r="H2" s="438"/>
      <c r="I2" s="276" t="s">
        <v>239</v>
      </c>
      <c r="J2" s="277" t="s">
        <v>237</v>
      </c>
      <c r="K2" s="278" t="s">
        <v>238</v>
      </c>
      <c r="L2" s="378" t="s">
        <v>255</v>
      </c>
      <c r="M2" s="226"/>
    </row>
    <row r="3" spans="1:13" ht="13.5" customHeight="1">
      <c r="D3" s="285"/>
      <c r="E3" s="379" t="str">
        <f>'a（自動）計算用'!B2</f>
        <v>スギ</v>
      </c>
      <c r="F3" s="379">
        <f>入力!C17</f>
        <v>10</v>
      </c>
      <c r="G3" s="379">
        <f>入力!C25</f>
        <v>120</v>
      </c>
      <c r="H3" s="275">
        <f>入力!C24</f>
        <v>1.7</v>
      </c>
      <c r="I3" s="279" t="s">
        <v>240</v>
      </c>
      <c r="J3" s="280" t="s">
        <v>241</v>
      </c>
      <c r="K3" s="281" t="s">
        <v>241</v>
      </c>
      <c r="L3" s="380">
        <f>入力!C26</f>
        <v>0</v>
      </c>
      <c r="M3" s="226"/>
    </row>
    <row r="4" spans="1:13" ht="13.5" customHeight="1"/>
    <row r="5" spans="1:13" ht="13.5" customHeight="1">
      <c r="A5" s="286" t="s">
        <v>1</v>
      </c>
      <c r="B5" s="286" t="s">
        <v>2</v>
      </c>
      <c r="C5" s="286" t="s">
        <v>3</v>
      </c>
      <c r="D5" s="286" t="s">
        <v>69</v>
      </c>
      <c r="E5" s="286" t="s">
        <v>212</v>
      </c>
      <c r="F5" s="286" t="s">
        <v>211</v>
      </c>
      <c r="G5" s="445" t="s">
        <v>32</v>
      </c>
      <c r="H5" s="286" t="s">
        <v>113</v>
      </c>
      <c r="I5" s="447" t="s">
        <v>79</v>
      </c>
      <c r="J5" s="286" t="s">
        <v>256</v>
      </c>
      <c r="K5" s="381" t="s">
        <v>72</v>
      </c>
      <c r="L5" s="445" t="s">
        <v>143</v>
      </c>
    </row>
    <row r="6" spans="1:13" ht="13.5" customHeight="1">
      <c r="A6" s="292" t="s">
        <v>254</v>
      </c>
      <c r="B6" s="292" t="s">
        <v>257</v>
      </c>
      <c r="C6" s="292" t="s">
        <v>258</v>
      </c>
      <c r="D6" s="292" t="s">
        <v>259</v>
      </c>
      <c r="E6" s="292" t="s">
        <v>260</v>
      </c>
      <c r="F6" s="292" t="s">
        <v>261</v>
      </c>
      <c r="G6" s="446"/>
      <c r="H6" s="292" t="s">
        <v>259</v>
      </c>
      <c r="I6" s="448"/>
      <c r="J6" s="292" t="s">
        <v>261</v>
      </c>
      <c r="K6" s="292" t="s">
        <v>259</v>
      </c>
      <c r="L6" s="446"/>
    </row>
    <row r="7" spans="1:13" ht="13.5" customHeight="1">
      <c r="A7" s="382">
        <v>10</v>
      </c>
      <c r="B7" s="383">
        <f>IFERROR('b（手動）計算用'!G5,"")</f>
        <v>7.005377668918638</v>
      </c>
      <c r="C7" s="383">
        <f>IFERROR('b（手動）計算用'!I5,"")</f>
        <v>11.138932082557449</v>
      </c>
      <c r="D7" s="384">
        <f>IFERROR('b（手動）計算用'!F5,"")</f>
        <v>2400</v>
      </c>
      <c r="E7" s="385">
        <f>IFERROR('b（手動）計算用'!J5,"")</f>
        <v>4.2616671319891421E-2</v>
      </c>
      <c r="F7" s="383">
        <f>IFERROR('b（手動）計算用'!H5,"")</f>
        <v>102.2800111677394</v>
      </c>
      <c r="G7" s="385">
        <f>IFERROR('b（手動）計算用'!K5,"")</f>
        <v>0.53</v>
      </c>
      <c r="H7" s="384">
        <f>IFERROR('b（手動）計算用'!L5,"")</f>
        <v>0</v>
      </c>
      <c r="I7" s="386">
        <f>IF(A7&gt;$G$3,"",IF(A7&lt;$F$3,"",IFERROR('b（手動）計算用'!M5,0)))</f>
        <v>0</v>
      </c>
      <c r="J7" s="383">
        <f>IFERROR('b（手動）計算用'!R5,"")</f>
        <v>102.2800111677394</v>
      </c>
      <c r="K7" s="384">
        <f>IFERROR('b（手動）計算用'!Q5,"")</f>
        <v>2400</v>
      </c>
      <c r="L7" s="385">
        <f>IFERROR('b（手動）計算用'!T5,"")</f>
        <v>0.53912917556448103</v>
      </c>
    </row>
    <row r="8" spans="1:13" ht="13.5" customHeight="1">
      <c r="A8" s="382">
        <v>11</v>
      </c>
      <c r="B8" s="383">
        <f>IFERROR('b（手動）計算用'!G6,"")</f>
        <v>7.6866187767008665</v>
      </c>
      <c r="C8" s="383">
        <f>IFERROR('b（手動）計算用'!I6,"")</f>
        <v>11.817060145244328</v>
      </c>
      <c r="D8" s="384">
        <f>IFERROR('b（手動）計算用'!F6,"")</f>
        <v>2400</v>
      </c>
      <c r="E8" s="385">
        <f>IFERROR('b（手動）計算用'!J6,"")</f>
        <v>5.1759715214016684E-2</v>
      </c>
      <c r="F8" s="383">
        <f>IFERROR('b（手動）計算用'!H6,"")</f>
        <v>124.22331651364004</v>
      </c>
      <c r="G8" s="385">
        <f>IFERROR('b（手動）計算用'!K6,"")</f>
        <v>0.56999999999999995</v>
      </c>
      <c r="H8" s="384">
        <f>IFERROR('b（手動）計算用'!L6,"")</f>
        <v>0</v>
      </c>
      <c r="I8" s="386">
        <f>IF(A8&gt;$G$3,"",IF(A8&lt;$F$3,"",IFERROR('b（手動）計算用'!M6,0)))</f>
        <v>0</v>
      </c>
      <c r="J8" s="383">
        <f>IFERROR('b（手動）計算用'!R6,"")</f>
        <v>124.22331651364004</v>
      </c>
      <c r="K8" s="384">
        <f>IFERROR('b（手動）計算用'!Q6,"")</f>
        <v>2400</v>
      </c>
      <c r="L8" s="385">
        <f>IFERROR('b（手動）計算用'!T6,"")</f>
        <v>0.57999766699305544</v>
      </c>
    </row>
    <row r="9" spans="1:13" ht="13.5" customHeight="1">
      <c r="A9" s="382">
        <v>12</v>
      </c>
      <c r="B9" s="383">
        <f>IFERROR('b（手動）計算用'!G7,"")</f>
        <v>8.3560214438217386</v>
      </c>
      <c r="C9" s="383">
        <f>IFERROR('b（手動）計算用'!I7,"")</f>
        <v>12.468685617754097</v>
      </c>
      <c r="D9" s="384">
        <f>IFERROR('b（手動）計算用'!F7,"")</f>
        <v>2378.6995149385252</v>
      </c>
      <c r="E9" s="385">
        <f>IFERROR('b（手動）計算用'!J7,"")</f>
        <v>6.170121950473885E-2</v>
      </c>
      <c r="F9" s="383">
        <f>IFERROR('b（手動）計算用'!H7,"")</f>
        <v>146.76866090703777</v>
      </c>
      <c r="G9" s="385">
        <f>IFERROR('b（手動）計算用'!K7,"")</f>
        <v>0.61</v>
      </c>
      <c r="H9" s="384">
        <f>IFERROR('b（手動）計算用'!L7,"")</f>
        <v>0</v>
      </c>
      <c r="I9" s="386">
        <f>IF(A9&gt;$G$3,"",IF(A9&lt;$F$3,"",IFERROR('b（手動）計算用'!M7,0)))</f>
        <v>0</v>
      </c>
      <c r="J9" s="383">
        <f>IFERROR('b（手動）計算用'!R7,"")</f>
        <v>146.76866090703777</v>
      </c>
      <c r="K9" s="384">
        <f>IFERROR('b（手動）計算用'!Q7,"")</f>
        <v>2378.6995149385252</v>
      </c>
      <c r="L9" s="385">
        <f>IFERROR('b（手動）計算用'!T7,"")</f>
        <v>0.61440882489371806</v>
      </c>
    </row>
    <row r="10" spans="1:13" ht="13.5" customHeight="1">
      <c r="A10" s="382">
        <v>13</v>
      </c>
      <c r="B10" s="383">
        <f>IFERROR('b（手動）計算用'!G8,"")</f>
        <v>9.0132564321920068</v>
      </c>
      <c r="C10" s="383">
        <f>IFERROR('b（手動）計算用'!I8,"")</f>
        <v>13.068959350969083</v>
      </c>
      <c r="D10" s="384">
        <f>IFERROR('b（手動）計算用'!F8,"")</f>
        <v>2359.9216915640836</v>
      </c>
      <c r="E10" s="385">
        <f>IFERROR('b（手動）計算用'!J8,"")</f>
        <v>7.2185200991006268E-2</v>
      </c>
      <c r="F10" s="383">
        <f>IFERROR('b（手動）計算用'!H8,"")</f>
        <v>170.35142162858887</v>
      </c>
      <c r="G10" s="385">
        <f>IFERROR('b（手動）計算用'!K8,"")</f>
        <v>0.64</v>
      </c>
      <c r="H10" s="384">
        <f>IFERROR('b（手動）計算用'!L8,"")</f>
        <v>0</v>
      </c>
      <c r="I10" s="386">
        <f>IF(A10&gt;$G$3,"",IF(A10&lt;$F$3,"",IFERROR('b（手動）計算用'!M8,0)))</f>
        <v>0</v>
      </c>
      <c r="J10" s="383">
        <f>IFERROR('b（手動）計算用'!R8,"")</f>
        <v>170.35142162858887</v>
      </c>
      <c r="K10" s="384">
        <f>IFERROR('b（手動）計算用'!Q8,"")</f>
        <v>2359.9216915640836</v>
      </c>
      <c r="L10" s="385">
        <f>IFERROR('b（手動）計算用'!T8,"")</f>
        <v>0.64593872659071028</v>
      </c>
    </row>
    <row r="11" spans="1:13" ht="13.5" customHeight="1">
      <c r="A11" s="382">
        <v>14</v>
      </c>
      <c r="B11" s="383">
        <f>IFERROR('b（手動）計算用'!G9,"")</f>
        <v>9.6580943635452208</v>
      </c>
      <c r="C11" s="383">
        <f>IFERROR('b（手動）計算用'!I9,"")</f>
        <v>13.628019851557575</v>
      </c>
      <c r="D11" s="384">
        <f>IFERROR('b（手動）計算用'!F9,"")</f>
        <v>2340.7662406907311</v>
      </c>
      <c r="E11" s="385">
        <f>IFERROR('b（手動）計算用'!J9,"")</f>
        <v>8.3178583574442452E-2</v>
      </c>
      <c r="F11" s="383">
        <f>IFERROR('b（手動）計算用'!H9,"")</f>
        <v>194.70162037952747</v>
      </c>
      <c r="G11" s="385">
        <f>IFERROR('b（手動）計算用'!K9,"")</f>
        <v>0.67</v>
      </c>
      <c r="H11" s="384">
        <f>IFERROR('b（手動）計算用'!L9,"")</f>
        <v>0</v>
      </c>
      <c r="I11" s="386">
        <f>IF(A11&gt;$G$3,"",IF(A11&lt;$F$3,"",IFERROR('b（手動）計算用'!M9,0)))</f>
        <v>0</v>
      </c>
      <c r="J11" s="383">
        <f>IFERROR('b（手動）計算用'!R9,"")</f>
        <v>194.70162037952747</v>
      </c>
      <c r="K11" s="384">
        <f>IFERROR('b（手動）計算用'!Q9,"")</f>
        <v>2340.7662406907311</v>
      </c>
      <c r="L11" s="385">
        <f>IFERROR('b（手動）計算用'!T9,"")</f>
        <v>0.67451407995314949</v>
      </c>
    </row>
    <row r="12" spans="1:13" ht="13.5" customHeight="1">
      <c r="A12" s="382">
        <v>15</v>
      </c>
      <c r="B12" s="383">
        <f>IFERROR('b（手動）計算用'!G10,"")</f>
        <v>10.290382189294702</v>
      </c>
      <c r="C12" s="383">
        <f>IFERROR('b（手動）計算用'!I10,"")</f>
        <v>14.15072273584609</v>
      </c>
      <c r="D12" s="384">
        <f>IFERROR('b（手動）計算用'!F10,"")</f>
        <v>2321.3807070057342</v>
      </c>
      <c r="E12" s="385">
        <f>IFERROR('b（手動）計算用'!J10,"")</f>
        <v>9.4625566578361145E-2</v>
      </c>
      <c r="F12" s="383">
        <f>IFERROR('b（手動）計算用'!H10,"")</f>
        <v>219.66196464449416</v>
      </c>
      <c r="G12" s="385">
        <f>IFERROR('b（手動）計算用'!K10,"")</f>
        <v>0.7</v>
      </c>
      <c r="H12" s="384">
        <f>IFERROR('b（手動）計算用'!L10,"")</f>
        <v>0</v>
      </c>
      <c r="I12" s="386">
        <f>IF(A12&gt;$G$3,"",IF(A12&lt;$F$3,"",IFERROR('b（手動）計算用'!M10,0)))</f>
        <v>0</v>
      </c>
      <c r="J12" s="383">
        <f>IFERROR('b（手動）計算用'!R10,"")</f>
        <v>219.66196464449416</v>
      </c>
      <c r="K12" s="384">
        <f>IFERROR('b（手動）計算用'!Q10,"")</f>
        <v>2321.3807070057342</v>
      </c>
      <c r="L12" s="385">
        <f>IFERROR('b（手動）計算用'!T10,"")</f>
        <v>0.70045488300666847</v>
      </c>
    </row>
    <row r="13" spans="1:13" ht="13.5" customHeight="1">
      <c r="A13" s="382">
        <v>16</v>
      </c>
      <c r="B13" s="383">
        <f>IFERROR('b（手動）計算用'!G11,"")</f>
        <v>10.910026199109787</v>
      </c>
      <c r="C13" s="383">
        <f>IFERROR('b（手動）計算用'!I11,"")</f>
        <v>14.641189504521389</v>
      </c>
      <c r="D13" s="384">
        <f>IFERROR('b（手動）計算用'!F11,"")</f>
        <v>2301.8907004546645</v>
      </c>
      <c r="E13" s="385">
        <f>IFERROR('b（手動）計算用'!J11,"")</f>
        <v>0.10647548327071617</v>
      </c>
      <c r="F13" s="383">
        <f>IFERROR('b（手動）計算用'!H11,"")</f>
        <v>245.09492476727775</v>
      </c>
      <c r="G13" s="385">
        <f>IFERROR('b（手動）計算用'!K11,"")</f>
        <v>0.72</v>
      </c>
      <c r="H13" s="384">
        <f>IFERROR('b（手動）計算用'!L11,"")</f>
        <v>0</v>
      </c>
      <c r="I13" s="386">
        <f>IF(A13&gt;$G$3,"",IF(A13&lt;$F$3,"",IFERROR('b（手動）計算用'!M11,0)))</f>
        <v>0</v>
      </c>
      <c r="J13" s="383">
        <f>IFERROR('b（手動）計算用'!R11,"")</f>
        <v>245.09492476727775</v>
      </c>
      <c r="K13" s="384">
        <f>IFERROR('b（手動）計算用'!Q11,"")</f>
        <v>2301.8907004546645</v>
      </c>
      <c r="L13" s="385">
        <f>IFERROR('b（手動）計算用'!T11,"")</f>
        <v>0.72404923070116278</v>
      </c>
    </row>
    <row r="14" spans="1:13" ht="13.5" customHeight="1">
      <c r="A14" s="382">
        <v>17</v>
      </c>
      <c r="B14" s="383">
        <f>IFERROR('b（手動）計算用'!G12,"")</f>
        <v>11.516979531457144</v>
      </c>
      <c r="C14" s="383">
        <f>IFERROR('b（手動）計算用'!I12,"")</f>
        <v>15.102923750828976</v>
      </c>
      <c r="D14" s="384">
        <f>IFERROR('b（手動）計算用'!F12,"")</f>
        <v>2282.402289098367</v>
      </c>
      <c r="E14" s="385">
        <f>IFERROR('b（手動）計算用'!J12,"")</f>
        <v>0.11868213176305169</v>
      </c>
      <c r="F14" s="383">
        <f>IFERROR('b（手動）計算用'!H12,"")</f>
        <v>270.88036921106317</v>
      </c>
      <c r="G14" s="385">
        <f>IFERROR('b（手動）計算用'!K12,"")</f>
        <v>0.74</v>
      </c>
      <c r="H14" s="384">
        <f>IFERROR('b（手動）計算用'!L12,"")</f>
        <v>0</v>
      </c>
      <c r="I14" s="386">
        <f>IF(A14&gt;$G$3,"",IF(A14&lt;$F$3,"",IFERROR('b（手動）計算用'!M12,0)))</f>
        <v>0</v>
      </c>
      <c r="J14" s="383">
        <f>IFERROR('b（手動）計算用'!R12,"")</f>
        <v>270.88036921106317</v>
      </c>
      <c r="K14" s="384">
        <f>IFERROR('b（手動）計算用'!Q12,"")</f>
        <v>2282.402289098367</v>
      </c>
      <c r="L14" s="385">
        <f>IFERROR('b（手動）計算用'!T12,"")</f>
        <v>0.74555378117272408</v>
      </c>
    </row>
    <row r="15" spans="1:13" ht="13.5" customHeight="1">
      <c r="A15" s="382">
        <v>18</v>
      </c>
      <c r="B15" s="383">
        <f>IFERROR('b（手動）計算用'!G13,"")</f>
        <v>12.111232869455735</v>
      </c>
      <c r="C15" s="383">
        <f>IFERROR('b（手動）計算用'!I13,"")</f>
        <v>15.538911291599399</v>
      </c>
      <c r="D15" s="384">
        <f>IFERROR('b（手動）計算用'!F13,"")</f>
        <v>2263.0043655536742</v>
      </c>
      <c r="E15" s="385">
        <f>IFERROR('b（手動）計算用'!J13,"")</f>
        <v>0.13120317572038015</v>
      </c>
      <c r="F15" s="383">
        <f>IFERROR('b（手動）計算用'!H13,"")</f>
        <v>296.91335942972614</v>
      </c>
      <c r="G15" s="385">
        <f>IFERROR('b（手動）計算用'!K13,"")</f>
        <v>0.76</v>
      </c>
      <c r="H15" s="384">
        <f>IFERROR('b（手動）計算用'!L13,"")</f>
        <v>0</v>
      </c>
      <c r="I15" s="386">
        <f>IF(A15&gt;$G$3,"",IF(A15&lt;$F$3,"",IFERROR('b（手動）計算用'!M13,0)))</f>
        <v>0</v>
      </c>
      <c r="J15" s="383">
        <f>IFERROR('b（手動）計算用'!R13,"")</f>
        <v>296.91335942972614</v>
      </c>
      <c r="K15" s="384">
        <f>IFERROR('b（手動）計算用'!Q13,"")</f>
        <v>2263.0043655536742</v>
      </c>
      <c r="L15" s="385">
        <f>IFERROR('b（手動）計算用'!T13,"")</f>
        <v>0.76519570415109928</v>
      </c>
    </row>
    <row r="16" spans="1:13" ht="13.5" customHeight="1">
      <c r="A16" s="382">
        <v>19</v>
      </c>
      <c r="B16" s="383">
        <f>IFERROR('b（手動）計算用'!G14,"")</f>
        <v>12.692807439777415</v>
      </c>
      <c r="C16" s="383">
        <f>IFERROR('b（手動）計算用'!I14,"")</f>
        <v>15.951704886413307</v>
      </c>
      <c r="D16" s="384">
        <f>IFERROR('b（手動）計算用'!F14,"")</f>
        <v>2243.7708697822568</v>
      </c>
      <c r="E16" s="385">
        <f>IFERROR('b（手動）計算用'!J14,"")</f>
        <v>0.14399962857291512</v>
      </c>
      <c r="F16" s="383">
        <f>IFERROR('b（手動）計算用'!H14,"")</f>
        <v>323.10217185137168</v>
      </c>
      <c r="G16" s="385">
        <f>IFERROR('b（手動）計算用'!K14,"")</f>
        <v>0.78</v>
      </c>
      <c r="H16" s="384">
        <f>IFERROR('b（手動）計算用'!L14,"")</f>
        <v>0</v>
      </c>
      <c r="I16" s="386">
        <f>IF(A16&gt;$G$3,"",IF(A16&lt;$F$3,"",IFERROR('b（手動）計算用'!M14,0)))</f>
        <v>0</v>
      </c>
      <c r="J16" s="383">
        <f>IFERROR('b（手動）計算用'!R14,"")</f>
        <v>323.10217185137168</v>
      </c>
      <c r="K16" s="384">
        <f>IFERROR('b（手動）計算用'!Q14,"")</f>
        <v>2243.7708697822568</v>
      </c>
      <c r="L16" s="385">
        <f>IFERROR('b（手動）計算用'!T14,"")</f>
        <v>0.78317530264863533</v>
      </c>
    </row>
    <row r="17" spans="1:12" ht="13.5" customHeight="1">
      <c r="A17" s="382">
        <v>20</v>
      </c>
      <c r="B17" s="383">
        <f>IFERROR('b（手動）計算用'!G15,"")</f>
        <v>13.261749704127018</v>
      </c>
      <c r="C17" s="383">
        <f>IFERROR('b（手動）計算用'!I15,"")</f>
        <v>16.343495164728143</v>
      </c>
      <c r="D17" s="384">
        <f>IFERROR('b（手動）計算用'!F15,"")</f>
        <v>2224.7628122291453</v>
      </c>
      <c r="E17" s="385">
        <f>IFERROR('b（手動）計算用'!J15,"")</f>
        <v>0.15703542081058933</v>
      </c>
      <c r="F17" s="383">
        <f>IFERROR('b（手動）計算用'!H15,"")</f>
        <v>349.36656442215394</v>
      </c>
      <c r="G17" s="385">
        <f>IFERROR('b（手動）計算用'!K15,"")</f>
        <v>0.79</v>
      </c>
      <c r="H17" s="384">
        <f>IFERROR('b（手動）計算用'!L15,"")</f>
        <v>0</v>
      </c>
      <c r="I17" s="386">
        <f>IF(A17&gt;$G$3,"",IF(A17&lt;$F$3,"",IFERROR('b（手動）計算用'!M15,0)))</f>
        <v>0</v>
      </c>
      <c r="J17" s="383">
        <f>IFERROR('b（手動）計算用'!R15,"")</f>
        <v>349.36656442215394</v>
      </c>
      <c r="K17" s="384">
        <f>IFERROR('b（手動）計算用'!Q15,"")</f>
        <v>2224.7628122291453</v>
      </c>
      <c r="L17" s="385">
        <f>IFERROR('b（手動）計算用'!T15,"")</f>
        <v>0.79966884212340517</v>
      </c>
    </row>
    <row r="18" spans="1:12" ht="13.5" customHeight="1">
      <c r="A18" s="382">
        <v>21</v>
      </c>
      <c r="B18" s="383">
        <f>IFERROR('b（手動）計算用'!G16,"")</f>
        <v>13.818127308626075</v>
      </c>
      <c r="C18" s="383">
        <f>IFERROR('b（手動）計算用'!I16,"")</f>
        <v>16.71616965714956</v>
      </c>
      <c r="D18" s="384">
        <f>IFERROR('b（手動）計算用'!F16,"")</f>
        <v>2206.0300779597787</v>
      </c>
      <c r="E18" s="385">
        <f>IFERROR('b（手動）計算用'!J16,"")</f>
        <v>0.17027704326864862</v>
      </c>
      <c r="F18" s="383">
        <f>IFERROR('b（手動）計算用'!H16,"")</f>
        <v>375.63627903669754</v>
      </c>
      <c r="G18" s="385">
        <f>IFERROR('b（手動）計算用'!K16,"")</f>
        <v>0.81</v>
      </c>
      <c r="H18" s="384">
        <f>IFERROR('b（手動）計算用'!L16,"")</f>
        <v>0</v>
      </c>
      <c r="I18" s="386">
        <f>IF(A18&gt;$G$3,"",IF(A18&lt;$F$3,"",IFERROR('b（手動）計算用'!M16,0)))</f>
        <v>0</v>
      </c>
      <c r="J18" s="383">
        <f>IFERROR('b（手動）計算用'!R16,"")</f>
        <v>375.63627903669754</v>
      </c>
      <c r="K18" s="384">
        <f>IFERROR('b（手動）計算用'!Q16,"")</f>
        <v>2206.0300779597787</v>
      </c>
      <c r="L18" s="385">
        <f>IFERROR('b（手動）計算用'!T16,"")</f>
        <v>0.81483132953753434</v>
      </c>
    </row>
    <row r="19" spans="1:12" ht="13.5" customHeight="1">
      <c r="A19" s="382">
        <v>22</v>
      </c>
      <c r="B19" s="383">
        <f>IFERROR('b（手動）計算用'!G17,"")</f>
        <v>14.362025973710765</v>
      </c>
      <c r="C19" s="383">
        <f>IFERROR('b（手動）計算用'!I17,"")</f>
        <v>17.07136178153004</v>
      </c>
      <c r="D19" s="384">
        <f>IFERROR('b（手動）計算用'!F17,"")</f>
        <v>2187.6130135408257</v>
      </c>
      <c r="E19" s="385">
        <f>IFERROR('b（手動）計算用'!J17,"")</f>
        <v>0.18369325668352329</v>
      </c>
      <c r="F19" s="383">
        <f>IFERROR('b（手動）計算用'!H17,"")</f>
        <v>401.8497588205708</v>
      </c>
      <c r="G19" s="385">
        <f>IFERROR('b（手動）計算用'!K17,"")</f>
        <v>0.82</v>
      </c>
      <c r="H19" s="384">
        <f>IFERROR('b（手動）計算用'!L17,"")</f>
        <v>0</v>
      </c>
      <c r="I19" s="386">
        <f>IF(A19&gt;$G$3,"",IF(A19&lt;$F$3,"",IFERROR('b（手動）計算用'!M17,0)))</f>
        <v>0</v>
      </c>
      <c r="J19" s="383">
        <f>IFERROR('b（手動）計算用'!R17,"")</f>
        <v>401.8497588205708</v>
      </c>
      <c r="K19" s="384">
        <f>IFERROR('b（手動）計算用'!Q17,"")</f>
        <v>2187.6130135408257</v>
      </c>
      <c r="L19" s="385">
        <f>IFERROR('b（手動）計算用'!T17,"")</f>
        <v>0.82879910950820046</v>
      </c>
    </row>
    <row r="20" spans="1:12" ht="13.5" customHeight="1">
      <c r="A20" s="382">
        <v>23</v>
      </c>
      <c r="B20" s="383">
        <f>IFERROR('b（手動）計算用'!G18,"")</f>
        <v>14.893547087821741</v>
      </c>
      <c r="C20" s="383">
        <f>IFERROR('b（手動）計算用'!I18,"")</f>
        <v>17.410491451585159</v>
      </c>
      <c r="D20" s="384">
        <f>IFERROR('b（手動）計算用'!F18,"")</f>
        <v>2169.5438098124546</v>
      </c>
      <c r="E20" s="385">
        <f>IFERROR('b（手動）計算用'!J18,"")</f>
        <v>0.19725485728184891</v>
      </c>
      <c r="F20" s="383">
        <f>IFERROR('b（手動）計算用'!H18,"")</f>
        <v>427.95305457127449</v>
      </c>
      <c r="G20" s="385">
        <f>IFERROR('b（手動）計算用'!K18,"")</f>
        <v>0.84</v>
      </c>
      <c r="H20" s="384">
        <f>IFERROR('b（手動）計算用'!L18,"")</f>
        <v>0</v>
      </c>
      <c r="I20" s="386">
        <f>IF(A20&gt;$G$3,"",IF(A20&lt;$F$3,"",IFERROR('b（手動）計算用'!M18,0)))</f>
        <v>0</v>
      </c>
      <c r="J20" s="383">
        <f>IFERROR('b（手動）計算用'!R18,"")</f>
        <v>427.95305457127449</v>
      </c>
      <c r="K20" s="384">
        <f>IFERROR('b（手動）計算用'!Q18,"")</f>
        <v>2169.5438098124546</v>
      </c>
      <c r="L20" s="385">
        <f>IFERROR('b（手動）計算用'!T18,"")</f>
        <v>0.84169221821162155</v>
      </c>
    </row>
    <row r="21" spans="1:12" ht="13.5" customHeight="1">
      <c r="A21" s="382">
        <v>24</v>
      </c>
      <c r="B21" s="383">
        <f>IFERROR('b（手動）計算用'!G19,"")</f>
        <v>15.412805825357026</v>
      </c>
      <c r="C21" s="383">
        <f>IFERROR('b（手動）計算用'!I19,"")</f>
        <v>17.734798748539937</v>
      </c>
      <c r="D21" s="384">
        <f>IFERROR('b（手動）計算用'!F19,"")</f>
        <v>2151.8476991637572</v>
      </c>
      <c r="E21" s="385">
        <f>IFERROR('b（手動）計算用'!J19,"")</f>
        <v>0.21093448868642978</v>
      </c>
      <c r="F21" s="383">
        <f>IFERROR('b（手動）計算用'!H19,"")</f>
        <v>453.89889415417747</v>
      </c>
      <c r="G21" s="385">
        <f>IFERROR('b（手動）計算用'!K19,"")</f>
        <v>0.85</v>
      </c>
      <c r="H21" s="384">
        <f>IFERROR('b（手動）計算用'!L19,"")</f>
        <v>0</v>
      </c>
      <c r="I21" s="386">
        <f>IF(A21&gt;$G$3,"",IF(A21&lt;$F$3,"",IFERROR('b（手動）計算用'!M19,0)))</f>
        <v>0</v>
      </c>
      <c r="J21" s="383">
        <f>IFERROR('b（手動）計算用'!R19,"")</f>
        <v>453.89889415417747</v>
      </c>
      <c r="K21" s="384">
        <f>IFERROR('b（手動）計算用'!Q19,"")</f>
        <v>2151.8476991637572</v>
      </c>
      <c r="L21" s="385">
        <f>IFERROR('b（手動）計算用'!T19,"")</f>
        <v>0.85361647783445405</v>
      </c>
    </row>
    <row r="22" spans="1:12" ht="13.5" customHeight="1">
      <c r="A22" s="382">
        <v>25</v>
      </c>
      <c r="B22" s="383">
        <f>IFERROR('b（手動）計算用'!G20,"")</f>
        <v>15.919929651162615</v>
      </c>
      <c r="C22" s="383">
        <f>IFERROR('b（手動）計算用'!I20,"")</f>
        <v>18.04537187006207</v>
      </c>
      <c r="D22" s="384">
        <f>IFERROR('b（手動）計算用'!F20,"")</f>
        <v>2134.5439878349262</v>
      </c>
      <c r="E22" s="385">
        <f>IFERROR('b（手動）計算用'!J20,"")</f>
        <v>0.2247064913972702</v>
      </c>
      <c r="F22" s="383">
        <f>IFERROR('b（手動）計算用'!H20,"")</f>
        <v>479.64589023952368</v>
      </c>
      <c r="G22" s="385">
        <f>IFERROR('b（手動）計算用'!K20,"")</f>
        <v>0.86</v>
      </c>
      <c r="H22" s="384">
        <f>IFERROR('b（手動）計算用'!L20,"")</f>
        <v>0</v>
      </c>
      <c r="I22" s="386">
        <f>IF(A22&gt;$G$3,"",IF(A22&lt;$F$3,"",IFERROR('b（手動）計算用'!M20,0)))</f>
        <v>0</v>
      </c>
      <c r="J22" s="383">
        <f>IFERROR('b（手動）計算用'!R20,"")</f>
        <v>479.64589023952368</v>
      </c>
      <c r="K22" s="384">
        <f>IFERROR('b（手動）計算用'!Q20,"")</f>
        <v>2134.5439878349262</v>
      </c>
      <c r="L22" s="385">
        <f>IFERROR('b（手動）計算用'!T20,"")</f>
        <v>0.8646653375417257</v>
      </c>
    </row>
    <row r="23" spans="1:12" ht="13.5" customHeight="1">
      <c r="A23" s="382">
        <v>26</v>
      </c>
      <c r="B23" s="383">
        <f>IFERROR('b（手動）計算用'!G21,"")</f>
        <v>16.415057105306442</v>
      </c>
      <c r="C23" s="383">
        <f>IFERROR('b（手動）計算用'!I21,"")</f>
        <v>18.343170365246365</v>
      </c>
      <c r="D23" s="384">
        <f>IFERROR('b（手動）計算用'!F21,"")</f>
        <v>2117.6469436323105</v>
      </c>
      <c r="E23" s="385">
        <f>IFERROR('b（手動）計算用'!J21,"")</f>
        <v>0.23854678222733527</v>
      </c>
      <c r="F23" s="383">
        <f>IFERROR('b（手動）計算用'!H21,"")</f>
        <v>505.15786429703888</v>
      </c>
      <c r="G23" s="385">
        <f>IFERROR('b（手動）計算用'!K21,"")</f>
        <v>0.87</v>
      </c>
      <c r="H23" s="384">
        <f>IFERROR('b（手動）計算用'!L21,"")</f>
        <v>0</v>
      </c>
      <c r="I23" s="386">
        <f>IF(A23&gt;$G$3,"",IF(A23&lt;$F$3,"",IFERROR('b（手動）計算用'!M21,0)))</f>
        <v>0</v>
      </c>
      <c r="J23" s="383">
        <f>IFERROR('b（手動）計算用'!R21,"")</f>
        <v>505.15786429703888</v>
      </c>
      <c r="K23" s="384">
        <f>IFERROR('b（手動）計算用'!Q21,"")</f>
        <v>2117.6469436323105</v>
      </c>
      <c r="L23" s="385">
        <f>IFERROR('b（手動）計算用'!T21,"")</f>
        <v>0.87492147876876547</v>
      </c>
    </row>
    <row r="24" spans="1:12" ht="13.5" customHeight="1">
      <c r="A24" s="382">
        <v>27</v>
      </c>
      <c r="B24" s="383">
        <f>IFERROR('b（手動）計算用'!G22,"")</f>
        <v>16.898336786226629</v>
      </c>
      <c r="C24" s="383">
        <f>IFERROR('b（手動）計算用'!I22,"")</f>
        <v>18.629044486580348</v>
      </c>
      <c r="D24" s="384">
        <f>IFERROR('b（手動）計算用'!F22,"")</f>
        <v>2101.166558191509</v>
      </c>
      <c r="E24" s="385">
        <f>IFERROR('b（手動）計算用'!J22,"")</f>
        <v>0.25243275718911268</v>
      </c>
      <c r="F24" s="383">
        <f>IFERROR('b（手動）計算用'!H22,"")</f>
        <v>530.4032675978408</v>
      </c>
      <c r="G24" s="385">
        <f>IFERROR('b（手動）計算用'!K22,"")</f>
        <v>0.88</v>
      </c>
      <c r="H24" s="384">
        <f>IFERROR('b（手動）計算用'!L22,"")</f>
        <v>0</v>
      </c>
      <c r="I24" s="386">
        <f>IF(A24&gt;$G$3,"",IF(A24&lt;$F$3,"",IFERROR('b（手動）計算用'!M22,0)))</f>
        <v>0</v>
      </c>
      <c r="J24" s="383">
        <f>IFERROR('b（手動）計算用'!R22,"")</f>
        <v>530.4032675978408</v>
      </c>
      <c r="K24" s="384">
        <f>IFERROR('b（手動）計算用'!Q22,"")</f>
        <v>2101.166558191509</v>
      </c>
      <c r="L24" s="385">
        <f>IFERROR('b（手動）計算用'!T22,"")</f>
        <v>0.88445820782285334</v>
      </c>
    </row>
    <row r="25" spans="1:12" ht="13.5" customHeight="1">
      <c r="A25" s="382">
        <v>28</v>
      </c>
      <c r="B25" s="383">
        <f>IFERROR('b（手動）計算用'!G23,"")</f>
        <v>17.369926469612402</v>
      </c>
      <c r="C25" s="383">
        <f>IFERROR('b（手動）計算用'!I23,"")</f>
        <v>18.903751340169272</v>
      </c>
      <c r="D25" s="384">
        <f>IFERROR('b（手動）計算用'!F23,"")</f>
        <v>2085.1092011342921</v>
      </c>
      <c r="E25" s="385">
        <f>IFERROR('b（手動）計算用'!J23,"")</f>
        <v>0.26634321236966912</v>
      </c>
      <c r="F25" s="383">
        <f>IFERROR('b（手動）計算用'!H23,"")</f>
        <v>555.35468277166194</v>
      </c>
      <c r="G25" s="385">
        <f>IFERROR('b（手動）計算用'!K23,"")</f>
        <v>0.89</v>
      </c>
      <c r="H25" s="384">
        <f>IFERROR('b（手動）計算用'!L23,"")</f>
        <v>0</v>
      </c>
      <c r="I25" s="386">
        <f>IF(A25&gt;$G$3,"",IF(A25&lt;$F$3,"",IFERROR('b（手動）計算用'!M23,0)))</f>
        <v>0</v>
      </c>
      <c r="J25" s="383">
        <f>IFERROR('b（手動）計算用'!R23,"")</f>
        <v>555.35468277166194</v>
      </c>
      <c r="K25" s="384">
        <f>IFERROR('b（手動）計算用'!Q23,"")</f>
        <v>2085.1092011342921</v>
      </c>
      <c r="L25" s="385">
        <f>IFERROR('b（手動）計算用'!T23,"")</f>
        <v>0.89334066014991687</v>
      </c>
    </row>
    <row r="26" spans="1:12" ht="13.5" customHeight="1">
      <c r="A26" s="382">
        <v>29</v>
      </c>
      <c r="B26" s="383">
        <f>IFERROR('b（手動）計算用'!G24,"")</f>
        <v>17.829992315883583</v>
      </c>
      <c r="C26" s="383">
        <f>IFERROR('b（手動）計算用'!I24,"")</f>
        <v>19.167968391684589</v>
      </c>
      <c r="D26" s="384">
        <f>IFERROR('b（手動）計算用'!F24,"")</f>
        <v>2069.4781814832136</v>
      </c>
      <c r="E26" s="385">
        <f>IFERROR('b（手動）計算用'!J24,"")</f>
        <v>0.28025827827207689</v>
      </c>
      <c r="F26" s="383">
        <f>IFERROR('b（手動）計算用'!H24,"")</f>
        <v>579.98839206411412</v>
      </c>
      <c r="G26" s="385">
        <f>IFERROR('b（手動）計算用'!K24,"")</f>
        <v>0.9</v>
      </c>
      <c r="H26" s="384">
        <f>IFERROR('b（手動）計算用'!L24,"")</f>
        <v>0</v>
      </c>
      <c r="I26" s="386">
        <f>IF(A26&gt;$G$3,"",IF(A26&lt;$F$3,"",IFERROR('b（手動）計算用'!M24,0)))</f>
        <v>0</v>
      </c>
      <c r="J26" s="383">
        <f>IFERROR('b（手動）計算用'!R24,"")</f>
        <v>579.98839206411412</v>
      </c>
      <c r="K26" s="384">
        <f>IFERROR('b（手動）計算用'!Q24,"")</f>
        <v>2069.4781814832136</v>
      </c>
      <c r="L26" s="385">
        <f>IFERROR('b（手動）計算用'!T24,"")</f>
        <v>0.90162683990706161</v>
      </c>
    </row>
    <row r="27" spans="1:12" ht="13.5" customHeight="1">
      <c r="A27" s="382">
        <v>30</v>
      </c>
      <c r="B27" s="383">
        <f>IFERROR('b（手動）計算用'!G25,"")</f>
        <v>18.278708131736447</v>
      </c>
      <c r="C27" s="383">
        <f>IFERROR('b（手動）計算用'!I25,"")</f>
        <v>19.422304784112736</v>
      </c>
      <c r="D27" s="384">
        <f>IFERROR('b（手動）計算用'!F25,"")</f>
        <v>2054.2742297248478</v>
      </c>
      <c r="E27" s="385">
        <f>IFERROR('b（手動）計算用'!J25,"")</f>
        <v>0.29415936393409176</v>
      </c>
      <c r="F27" s="383">
        <f>IFERROR('b（手動）計算用'!H25,"")</f>
        <v>604.28400076205753</v>
      </c>
      <c r="G27" s="385">
        <f>IFERROR('b（手動）計算用'!K25,"")</f>
        <v>0.9</v>
      </c>
      <c r="H27" s="384">
        <f>IFERROR('b（手動）計算用'!L25,"")</f>
        <v>620</v>
      </c>
      <c r="I27" s="386">
        <f>IF(A27&gt;$G$3,"",IF(A27&lt;$F$3,"",IFERROR('b（手動）計算用'!M25,0)))</f>
        <v>0.3</v>
      </c>
      <c r="J27" s="383">
        <f>IFERROR('b（手動）計算用'!R25,"")</f>
        <v>529.93229420123112</v>
      </c>
      <c r="K27" s="384">
        <f>IFERROR('b（手動）計算用'!Q25,"")</f>
        <v>1434.2742297248478</v>
      </c>
      <c r="L27" s="385">
        <f>IFERROR('b（手動）計算用'!T25,"")</f>
        <v>0.79747890681961453</v>
      </c>
    </row>
    <row r="28" spans="1:12" ht="13.5" customHeight="1">
      <c r="A28" s="382">
        <v>31</v>
      </c>
      <c r="B28" s="383">
        <f>IFERROR('b（手動）計算用'!G26,"")</f>
        <v>18.716254661483859</v>
      </c>
      <c r="C28" s="383">
        <f>IFERROR('b（手動）計算用'!I26,"")</f>
        <v>22.681383906608374</v>
      </c>
      <c r="D28" s="384">
        <f>IFERROR('b（手動）計算用'!F26,"")</f>
        <v>1434.2742297248478</v>
      </c>
      <c r="E28" s="385">
        <f>IFERROR('b（手動）計算用'!J26,"")</f>
        <v>0.38601600265117758</v>
      </c>
      <c r="F28" s="383">
        <f>IFERROR('b（手動）計算用'!H26,"")</f>
        <v>553.65280486398251</v>
      </c>
      <c r="G28" s="385">
        <f>IFERROR('b（手動）計算用'!K26,"")</f>
        <v>0.8</v>
      </c>
      <c r="H28" s="384">
        <f>IFERROR('b（手動）計算用'!L26,"")</f>
        <v>0</v>
      </c>
      <c r="I28" s="386">
        <f>IF(A28&gt;$G$3,"",IF(A28&lt;$F$3,"",IFERROR('b（手動）計算用'!M26,0)))</f>
        <v>0</v>
      </c>
      <c r="J28" s="383">
        <f>IFERROR('b（手動）計算用'!R26,"")</f>
        <v>553.65280486398251</v>
      </c>
      <c r="K28" s="384">
        <f>IFERROR('b（手動）計算用'!Q26,"")</f>
        <v>1434.2742297248478</v>
      </c>
      <c r="L28" s="385">
        <f>IFERROR('b（手動）計算用'!T26,"")</f>
        <v>0.80780854996021612</v>
      </c>
    </row>
    <row r="29" spans="1:12" ht="13.5" customHeight="1">
      <c r="A29" s="382">
        <v>32</v>
      </c>
      <c r="B29" s="383">
        <f>IFERROR('b（手動）計算用'!G27,"")</f>
        <v>19.142818892220774</v>
      </c>
      <c r="C29" s="383">
        <f>IFERROR('b（手動）計算用'!I27,"")</f>
        <v>22.915702954956895</v>
      </c>
      <c r="D29" s="384">
        <f>IFERROR('b（手動）計算用'!F27,"")</f>
        <v>1434.2742297248478</v>
      </c>
      <c r="E29" s="385">
        <f>IFERROR('b（手動）計算用'!J27,"")</f>
        <v>0.40236796976272765</v>
      </c>
      <c r="F29" s="383">
        <f>IFERROR('b（手動）計算用'!H27,"")</f>
        <v>577.10600989738703</v>
      </c>
      <c r="G29" s="385">
        <f>IFERROR('b（手動）計算用'!K27,"")</f>
        <v>0.81</v>
      </c>
      <c r="H29" s="384">
        <f>IFERROR('b（手動）計算用'!L27,"")</f>
        <v>0</v>
      </c>
      <c r="I29" s="386">
        <f>IF(A29&gt;$G$3,"",IF(A29&lt;$F$3,"",IFERROR('b（手動）計算用'!M27,0)))</f>
        <v>0</v>
      </c>
      <c r="J29" s="383">
        <f>IFERROR('b（手動）計算用'!R27,"")</f>
        <v>577.10600989738703</v>
      </c>
      <c r="K29" s="384">
        <f>IFERROR('b（手動）計算用'!Q27,"")</f>
        <v>1434.2742297248478</v>
      </c>
      <c r="L29" s="385">
        <f>IFERROR('b（手動）計算用'!T27,"")</f>
        <v>0.81758806381640869</v>
      </c>
    </row>
    <row r="30" spans="1:12" ht="13.5" customHeight="1">
      <c r="A30" s="382">
        <v>33</v>
      </c>
      <c r="B30" s="383">
        <f>IFERROR('b（手動）計算用'!G28,"")</f>
        <v>19.558593363470184</v>
      </c>
      <c r="C30" s="383">
        <f>IFERROR('b（手動）計算用'!I28,"")</f>
        <v>23.138394568573947</v>
      </c>
      <c r="D30" s="384">
        <f>IFERROR('b（手動）計算用'!F28,"")</f>
        <v>1434.2742297248478</v>
      </c>
      <c r="E30" s="385">
        <f>IFERROR('b（手動）計算用'!J28,"")</f>
        <v>0.41851835316430375</v>
      </c>
      <c r="F30" s="383">
        <f>IFERROR('b（手動）計算用'!H28,"")</f>
        <v>600.27008861044362</v>
      </c>
      <c r="G30" s="385">
        <f>IFERROR('b（手動）計算用'!K28,"")</f>
        <v>0.82</v>
      </c>
      <c r="H30" s="384">
        <f>IFERROR('b（手動）計算用'!L28,"")</f>
        <v>0</v>
      </c>
      <c r="I30" s="386">
        <f>IF(A30&gt;$G$3,"",IF(A30&lt;$F$3,"",IFERROR('b（手動）計算用'!M28,0)))</f>
        <v>0</v>
      </c>
      <c r="J30" s="383">
        <f>IFERROR('b（手動）計算用'!R28,"")</f>
        <v>600.27008861044362</v>
      </c>
      <c r="K30" s="384">
        <f>IFERROR('b（手動）計算用'!Q28,"")</f>
        <v>1434.2742297248478</v>
      </c>
      <c r="L30" s="385">
        <f>IFERROR('b（手動）計算用'!T28,"")</f>
        <v>0.82685364257297544</v>
      </c>
    </row>
    <row r="31" spans="1:12" ht="13.5" customHeight="1">
      <c r="A31" s="382">
        <v>34</v>
      </c>
      <c r="B31" s="383">
        <f>IFERROR('b（手動）計算用'!G29,"")</f>
        <v>19.963775477128916</v>
      </c>
      <c r="C31" s="383">
        <f>IFERROR('b（手動）計算用'!I29,"")</f>
        <v>23.350200045834679</v>
      </c>
      <c r="D31" s="384">
        <f>IFERROR('b（手動）計算用'!F29,"")</f>
        <v>1434.2742297248478</v>
      </c>
      <c r="E31" s="385">
        <f>IFERROR('b（手動）計算用'!J29,"")</f>
        <v>0.43445395069538634</v>
      </c>
      <c r="F31" s="383">
        <f>IFERROR('b（手動）計算用'!H29,"")</f>
        <v>623.12610548454222</v>
      </c>
      <c r="G31" s="385">
        <f>IFERROR('b（手動）計算用'!K29,"")</f>
        <v>0.83</v>
      </c>
      <c r="H31" s="384">
        <f>IFERROR('b（手動）計算用'!L29,"")</f>
        <v>0</v>
      </c>
      <c r="I31" s="386">
        <f>IF(A31&gt;$G$3,"",IF(A31&lt;$F$3,"",IFERROR('b（手動）計算用'!M29,0)))</f>
        <v>0</v>
      </c>
      <c r="J31" s="383">
        <f>IFERROR('b（手動）計算用'!R29,"")</f>
        <v>623.12610548454222</v>
      </c>
      <c r="K31" s="384">
        <f>IFERROR('b（手動）計算用'!Q29,"")</f>
        <v>1434.2742297248478</v>
      </c>
      <c r="L31" s="385">
        <f>IFERROR('b（手動）計算用'!T29,"")</f>
        <v>0.83563872346056745</v>
      </c>
    </row>
    <row r="32" spans="1:12" ht="13.5" customHeight="1">
      <c r="A32" s="382">
        <v>35</v>
      </c>
      <c r="B32" s="383">
        <f>IFERROR('b（手動）計算用'!G30,"")</f>
        <v>20.358566807421841</v>
      </c>
      <c r="C32" s="383">
        <f>IFERROR('b（手動）計算用'!I30,"")</f>
        <v>23.551802123586025</v>
      </c>
      <c r="D32" s="384">
        <f>IFERROR('b（手動）計算用'!F30,"")</f>
        <v>1434.2742297248478</v>
      </c>
      <c r="E32" s="385">
        <f>IFERROR('b（手動）計算用'!J30,"")</f>
        <v>0.45016340264645999</v>
      </c>
      <c r="F32" s="383">
        <f>IFERROR('b（手動）計算用'!H30,"")</f>
        <v>645.6577675810679</v>
      </c>
      <c r="G32" s="385">
        <f>IFERROR('b（手動）計算用'!K30,"")</f>
        <v>0.84</v>
      </c>
      <c r="H32" s="384">
        <f>IFERROR('b（手動）計算用'!L30,"")</f>
        <v>0</v>
      </c>
      <c r="I32" s="386">
        <f>IF(A32&gt;$G$3,"",IF(A32&lt;$F$3,"",IFERROR('b（手動）計算用'!M30,0)))</f>
        <v>0</v>
      </c>
      <c r="J32" s="383">
        <f>IFERROR('b（手動）計算用'!R30,"")</f>
        <v>645.6577675810679</v>
      </c>
      <c r="K32" s="384">
        <f>IFERROR('b（手動）計算用'!Q30,"")</f>
        <v>1434.2742297248478</v>
      </c>
      <c r="L32" s="385">
        <f>IFERROR('b（手動）計算用'!T30,"")</f>
        <v>0.84397421583543009</v>
      </c>
    </row>
    <row r="33" spans="1:12" ht="13.5" customHeight="1">
      <c r="A33" s="382">
        <v>36</v>
      </c>
      <c r="B33" s="383">
        <f>IFERROR('b（手動）計算用'!G31,"")</f>
        <v>20.743172413359066</v>
      </c>
      <c r="C33" s="383">
        <f>IFERROR('b（手動）計算用'!I31,"")</f>
        <v>23.74383056364524</v>
      </c>
      <c r="D33" s="384">
        <f>IFERROR('b（手動）計算用'!F31,"")</f>
        <v>1434.2742297248478</v>
      </c>
      <c r="E33" s="385">
        <f>IFERROR('b（手動）計算用'!J31,"")</f>
        <v>0.46563703427539443</v>
      </c>
      <c r="F33" s="383">
        <f>IFERROR('b（手動）計算用'!H31,"")</f>
        <v>667.85119866670391</v>
      </c>
      <c r="G33" s="385">
        <f>IFERROR('b（手動）計算用'!K31,"")</f>
        <v>0.85</v>
      </c>
      <c r="H33" s="384">
        <f>IFERROR('b（手動）計算用'!L31,"")</f>
        <v>0</v>
      </c>
      <c r="I33" s="386">
        <f>IF(A33&gt;$G$3,"",IF(A33&lt;$F$3,"",IFERROR('b（手動）計算用'!M31,0)))</f>
        <v>0</v>
      </c>
      <c r="J33" s="383">
        <f>IFERROR('b（手動）計算用'!R31,"")</f>
        <v>667.85119866670391</v>
      </c>
      <c r="K33" s="384">
        <f>IFERROR('b（手動）計算用'!Q31,"")</f>
        <v>1434.2742297248478</v>
      </c>
      <c r="L33" s="385">
        <f>IFERROR('b（手動）計算用'!T31,"")</f>
        <v>0.85188871112104514</v>
      </c>
    </row>
    <row r="34" spans="1:12" ht="13.5" customHeight="1">
      <c r="A34" s="382">
        <v>37</v>
      </c>
      <c r="B34" s="383">
        <f>IFERROR('b（手動）計算用'!G32,"")</f>
        <v>21.117800158034136</v>
      </c>
      <c r="C34" s="383">
        <f>IFERROR('b（手動）計算用'!I32,"")</f>
        <v>23.926867107614676</v>
      </c>
      <c r="D34" s="384">
        <f>IFERROR('b（手動）計算用'!F32,"")</f>
        <v>1434.2742297248478</v>
      </c>
      <c r="E34" s="385">
        <f>IFERROR('b（手動）計算用'!J32,"")</f>
        <v>0.48086670907955376</v>
      </c>
      <c r="F34" s="383">
        <f>IFERROR('b（手動）計算用'!H32,"")</f>
        <v>689.69472876539942</v>
      </c>
      <c r="G34" s="385">
        <f>IFERROR('b（手動）計算用'!K32,"")</f>
        <v>0.85</v>
      </c>
      <c r="H34" s="384">
        <f>IFERROR('b（手動）計算用'!L32,"")</f>
        <v>0</v>
      </c>
      <c r="I34" s="386">
        <f>IF(A34&gt;$G$3,"",IF(A34&lt;$F$3,"",IFERROR('b（手動）計算用'!M32,0)))</f>
        <v>0</v>
      </c>
      <c r="J34" s="383">
        <f>IFERROR('b（手動）計算用'!R32,"")</f>
        <v>689.69472876539942</v>
      </c>
      <c r="K34" s="384">
        <f>IFERROR('b（手動）計算用'!Q32,"")</f>
        <v>1434.2742297248478</v>
      </c>
      <c r="L34" s="385">
        <f>IFERROR('b（手動）計算用'!T32,"")</f>
        <v>0.859408674788676</v>
      </c>
    </row>
    <row r="35" spans="1:12" ht="13.5" customHeight="1">
      <c r="A35" s="382">
        <v>38</v>
      </c>
      <c r="B35" s="383">
        <f>IFERROR('b（手動）計算用'!G33,"")</f>
        <v>21.482660040158859</v>
      </c>
      <c r="C35" s="383">
        <f>IFERROR('b（手動）計算用'!I33,"")</f>
        <v>24.101449880652151</v>
      </c>
      <c r="D35" s="384">
        <f>IFERROR('b（手動）計算用'!F33,"")</f>
        <v>1434.2742297248478</v>
      </c>
      <c r="E35" s="385">
        <f>IFERROR('b（手動）計算用'!J33,"")</f>
        <v>0.49584569206773471</v>
      </c>
      <c r="F35" s="383">
        <f>IFERROR('b（手動）計算用'!H33,"")</f>
        <v>711.17869805283431</v>
      </c>
      <c r="G35" s="385">
        <f>IFERROR('b（手動）計算用'!K33,"")</f>
        <v>0.86</v>
      </c>
      <c r="H35" s="384">
        <f>IFERROR('b（手動）計算用'!L33,"")</f>
        <v>0</v>
      </c>
      <c r="I35" s="386">
        <f>IF(A35&gt;$G$3,"",IF(A35&lt;$F$3,"",IFERROR('b（手動）計算用'!M33,0)))</f>
        <v>0</v>
      </c>
      <c r="J35" s="383">
        <f>IFERROR('b（手動）計算用'!R33,"")</f>
        <v>711.17869805283431</v>
      </c>
      <c r="K35" s="384">
        <f>IFERROR('b（手動）計算用'!Q33,"")</f>
        <v>1434.2742297248478</v>
      </c>
      <c r="L35" s="385">
        <f>IFERROR('b（手動）計算用'!T33,"")</f>
        <v>0.86655862166436115</v>
      </c>
    </row>
    <row r="36" spans="1:12" ht="13.5" customHeight="1">
      <c r="A36" s="382">
        <v>39</v>
      </c>
      <c r="B36" s="383">
        <f>IFERROR('b（手動）計算用'!G34,"")</f>
        <v>21.837963543650535</v>
      </c>
      <c r="C36" s="383">
        <f>IFERROR('b（手動）計算用'!I34,"")</f>
        <v>24.268077314147764</v>
      </c>
      <c r="D36" s="384">
        <f>IFERROR('b（手動）計算用'!F34,"")</f>
        <v>1434.2742297248478</v>
      </c>
      <c r="E36" s="385">
        <f>IFERROR('b（手動）計算用'!J34,"")</f>
        <v>0.51056852239455663</v>
      </c>
      <c r="F36" s="383">
        <f>IFERROR('b（手動）計算用'!H34,"")</f>
        <v>732.29527417920644</v>
      </c>
      <c r="G36" s="385">
        <f>IFERROR('b（手動）計算用'!K34,"")</f>
        <v>0.87</v>
      </c>
      <c r="H36" s="384">
        <f>IFERROR('b（手動）計算用'!L34,"")</f>
        <v>0</v>
      </c>
      <c r="I36" s="386">
        <f>IF(A36&gt;$G$3,"",IF(A36&lt;$F$3,"",IFERROR('b（手動）計算用'!M34,0)))</f>
        <v>0</v>
      </c>
      <c r="J36" s="383">
        <f>IFERROR('b（手動）計算用'!R34,"")</f>
        <v>732.29527417920644</v>
      </c>
      <c r="K36" s="384">
        <f>IFERROR('b（手動）計算用'!Q34,"")</f>
        <v>1434.2742297248478</v>
      </c>
      <c r="L36" s="385">
        <f>IFERROR('b（手動）計算用'!T34,"")</f>
        <v>0.87336127587882117</v>
      </c>
    </row>
    <row r="37" spans="1:12" ht="13.5" customHeight="1">
      <c r="A37" s="382">
        <v>40</v>
      </c>
      <c r="B37" s="383">
        <f>IFERROR('b（手動）計算用'!G35,"")</f>
        <v>22.183923011010634</v>
      </c>
      <c r="C37" s="383">
        <f>IFERROR('b（手動）計算用'!I35,"")</f>
        <v>24.427211647899032</v>
      </c>
      <c r="D37" s="384">
        <f>IFERROR('b（手動）計算用'!F35,"")</f>
        <v>1434.2742297248478</v>
      </c>
      <c r="E37" s="385">
        <f>IFERROR('b（手動）計算用'!J35,"")</f>
        <v>0.52503089481318554</v>
      </c>
      <c r="F37" s="383">
        <f>IFERROR('b（手動）計算用'!H35,"")</f>
        <v>753.03828223992923</v>
      </c>
      <c r="G37" s="385">
        <f>IFERROR('b（手動）計算用'!K35,"")</f>
        <v>0.87</v>
      </c>
      <c r="H37" s="384">
        <f>IFERROR('b（手動）計算用'!L35,"")</f>
        <v>290</v>
      </c>
      <c r="I37" s="386">
        <f>IF(A37&gt;$G$3,"",IF(A37&lt;$F$3,"",IFERROR('b（手動）計算用'!M35,0)))</f>
        <v>0.2</v>
      </c>
      <c r="J37" s="383">
        <f>IFERROR('b（手動）計算用'!R35,"")</f>
        <v>692.24723084429058</v>
      </c>
      <c r="K37" s="384">
        <f>IFERROR('b（手動）計算用'!Q35,"")</f>
        <v>1144.2742297248478</v>
      </c>
      <c r="L37" s="385">
        <f>IFERROR('b（手動）計算用'!T35,"")</f>
        <v>0.80881043816601161</v>
      </c>
    </row>
    <row r="38" spans="1:12" ht="13.5" customHeight="1">
      <c r="A38" s="382">
        <v>41</v>
      </c>
      <c r="B38" s="383">
        <f>IFERROR('b（手動）計算用'!G36,"")</f>
        <v>22.520751045788124</v>
      </c>
      <c r="C38" s="383">
        <f>IFERROR('b（手動）計算用'!I36,"")</f>
        <v>26.854196241330715</v>
      </c>
      <c r="D38" s="384">
        <f>IFERROR('b（手動）計算用'!F36,"")</f>
        <v>1144.2742297248478</v>
      </c>
      <c r="E38" s="385">
        <f>IFERROR('b（手動）計算用'!J36,"")</f>
        <v>0.6219906384423467</v>
      </c>
      <c r="F38" s="383">
        <f>IFERROR('b（手動）計算用'!H36,"")</f>
        <v>711.72785869968254</v>
      </c>
      <c r="G38" s="385">
        <f>IFERROR('b（手動）計算用'!K36,"")</f>
        <v>0.81</v>
      </c>
      <c r="H38" s="384">
        <f>IFERROR('b（手動）計算用'!L36,"")</f>
        <v>0</v>
      </c>
      <c r="I38" s="386">
        <f>IF(A38&gt;$G$3,"",IF(A38&lt;$F$3,"",IFERROR('b（手動）計算用'!M36,0)))</f>
        <v>0</v>
      </c>
      <c r="J38" s="383">
        <f>IFERROR('b（手動）計算用'!R36,"")</f>
        <v>711.72785869968254</v>
      </c>
      <c r="K38" s="384">
        <f>IFERROR('b（手動）計算用'!Q36,"")</f>
        <v>1144.2742297248478</v>
      </c>
      <c r="L38" s="385">
        <f>IFERROR('b（手動）計算用'!T36,"")</f>
        <v>0.81535265716867455</v>
      </c>
    </row>
    <row r="39" spans="1:12" ht="13.5" customHeight="1">
      <c r="A39" s="382">
        <v>42</v>
      </c>
      <c r="B39" s="383">
        <f>IFERROR('b（手動）計算用'!G37,"")</f>
        <v>22.848659948719757</v>
      </c>
      <c r="C39" s="383">
        <f>IFERROR('b（手動）計算用'!I37,"")</f>
        <v>27.028735675627612</v>
      </c>
      <c r="D39" s="384">
        <f>IFERROR('b（手動）計算用'!F37,"")</f>
        <v>1144.2742297248478</v>
      </c>
      <c r="E39" s="385">
        <f>IFERROR('b（手動）計算用'!J37,"")</f>
        <v>0.6387123630539463</v>
      </c>
      <c r="F39" s="383">
        <f>IFERROR('b（手動）計算用'!H37,"")</f>
        <v>730.86209724929176</v>
      </c>
      <c r="G39" s="385">
        <f>IFERROR('b（手動）計算用'!K37,"")</f>
        <v>0.82</v>
      </c>
      <c r="H39" s="384">
        <f>IFERROR('b（手動）計算用'!L37,"")</f>
        <v>0</v>
      </c>
      <c r="I39" s="386">
        <f>IF(A39&gt;$G$3,"",IF(A39&lt;$F$3,"",IFERROR('b（手動）計算用'!M37,0)))</f>
        <v>0</v>
      </c>
      <c r="J39" s="383">
        <f>IFERROR('b（手動）計算用'!R37,"")</f>
        <v>730.86209724929176</v>
      </c>
      <c r="K39" s="384">
        <f>IFERROR('b（手動）計算用'!Q37,"")</f>
        <v>1144.2742297248478</v>
      </c>
      <c r="L39" s="385">
        <f>IFERROR('b（手動）計算用'!T37,"")</f>
        <v>0.82160202703372609</v>
      </c>
    </row>
    <row r="40" spans="1:12" ht="13.5" customHeight="1">
      <c r="A40" s="382">
        <v>43</v>
      </c>
      <c r="B40" s="383">
        <f>IFERROR('b（手動）計算用'!G38,"")</f>
        <v>23.167861191282384</v>
      </c>
      <c r="C40" s="383">
        <f>IFERROR('b（手動）計算用'!I38,"")</f>
        <v>27.195894691971205</v>
      </c>
      <c r="D40" s="384">
        <f>IFERROR('b（手動）計算用'!F38,"")</f>
        <v>1144.2742297248478</v>
      </c>
      <c r="E40" s="385">
        <f>IFERROR('b（手動）計算用'!J38,"")</f>
        <v>0.6551281578805207</v>
      </c>
      <c r="F40" s="383">
        <f>IFERROR('b（手動）計算用'!H38,"")</f>
        <v>749.6462682297913</v>
      </c>
      <c r="G40" s="385">
        <f>IFERROR('b（手動）計算用'!K38,"")</f>
        <v>0.82</v>
      </c>
      <c r="H40" s="384">
        <f>IFERROR('b（手動）計算用'!L38,"")</f>
        <v>0</v>
      </c>
      <c r="I40" s="386">
        <f>IF(A40&gt;$G$3,"",IF(A40&lt;$F$3,"",IFERROR('b（手動）計算用'!M38,0)))</f>
        <v>0</v>
      </c>
      <c r="J40" s="383">
        <f>IFERROR('b（手動）計算用'!R38,"")</f>
        <v>749.6462682297913</v>
      </c>
      <c r="K40" s="384">
        <f>IFERROR('b（手動）計算用'!Q38,"")</f>
        <v>1144.2742297248478</v>
      </c>
      <c r="L40" s="385">
        <f>IFERROR('b（手動）計算用'!T38,"")</f>
        <v>0.82757472049494829</v>
      </c>
    </row>
    <row r="41" spans="1:12" ht="13.5" customHeight="1">
      <c r="A41" s="382">
        <v>44</v>
      </c>
      <c r="B41" s="383">
        <f>IFERROR('b（手動）計算用'!G39,"")</f>
        <v>23.478564929459516</v>
      </c>
      <c r="C41" s="383">
        <f>IFERROR('b（手動）計算用'!I39,"")</f>
        <v>27.356065738259741</v>
      </c>
      <c r="D41" s="384">
        <f>IFERROR('b（手動）計算用'!F39,"")</f>
        <v>1144.2742297248478</v>
      </c>
      <c r="E41" s="385">
        <f>IFERROR('b（手動）計算用'!J39,"")</f>
        <v>0.67123581942420596</v>
      </c>
      <c r="F41" s="383">
        <f>IFERROR('b（手動）計算用'!H39,"")</f>
        <v>768.0778502353603</v>
      </c>
      <c r="G41" s="385">
        <f>IFERROR('b（手動）計算用'!K39,"")</f>
        <v>0.83</v>
      </c>
      <c r="H41" s="384">
        <f>IFERROR('b（手動）計算用'!L39,"")</f>
        <v>0</v>
      </c>
      <c r="I41" s="386">
        <f>IF(A41&gt;$G$3,"",IF(A41&lt;$F$3,"",IFERROR('b（手動）計算用'!M39,0)))</f>
        <v>0</v>
      </c>
      <c r="J41" s="383">
        <f>IFERROR('b（手動）計算用'!R39,"")</f>
        <v>768.0778502353603</v>
      </c>
      <c r="K41" s="384">
        <f>IFERROR('b（手動）計算用'!Q39,"")</f>
        <v>1144.2742297248478</v>
      </c>
      <c r="L41" s="385">
        <f>IFERROR('b（手動）計算用'!T39,"")</f>
        <v>0.83328586681337224</v>
      </c>
    </row>
    <row r="42" spans="1:12" ht="13.5" customHeight="1">
      <c r="A42" s="382">
        <v>45</v>
      </c>
      <c r="B42" s="383">
        <f>IFERROR('b（手動）計算用'!G40,"")</f>
        <v>23.780979559582203</v>
      </c>
      <c r="C42" s="383">
        <f>IFERROR('b（手動）計算用'!I40,"")</f>
        <v>27.509615816911396</v>
      </c>
      <c r="D42" s="384">
        <f>IFERROR('b（手動）計算用'!F40,"")</f>
        <v>1144.2742297248478</v>
      </c>
      <c r="E42" s="385">
        <f>IFERROR('b（手動）計算用'!J40,"")</f>
        <v>0.68703405344009139</v>
      </c>
      <c r="F42" s="383">
        <f>IFERROR('b（手動）計算用'!H40,"")</f>
        <v>786.15536229490056</v>
      </c>
      <c r="G42" s="385">
        <f>IFERROR('b（手動）計算用'!K40,"")</f>
        <v>0.83</v>
      </c>
      <c r="H42" s="384">
        <f>IFERROR('b（手動）計算用'!L40,"")</f>
        <v>0</v>
      </c>
      <c r="I42" s="386">
        <f>IF(A42&gt;$G$3,"",IF(A42&lt;$F$3,"",IFERROR('b（手動）計算用'!M40,0)))</f>
        <v>0</v>
      </c>
      <c r="J42" s="383">
        <f>IFERROR('b（手動）計算用'!R40,"")</f>
        <v>786.15536229490056</v>
      </c>
      <c r="K42" s="384">
        <f>IFERROR('b（手動）計算用'!Q40,"")</f>
        <v>1144.2742297248478</v>
      </c>
      <c r="L42" s="385">
        <f>IFERROR('b（手動）計算用'!T40,"")</f>
        <v>0.83874962512431217</v>
      </c>
    </row>
    <row r="43" spans="1:12" ht="13.5" customHeight="1">
      <c r="A43" s="382">
        <v>46</v>
      </c>
      <c r="B43" s="383">
        <f>IFERROR('b（手動）計算用'!G41,"")</f>
        <v>24.075311317201503</v>
      </c>
      <c r="C43" s="383">
        <f>IFERROR('b（手動）計算用'!I41,"")</f>
        <v>27.656888406806015</v>
      </c>
      <c r="D43" s="384">
        <f>IFERROR('b（手動）計算用'!F41,"")</f>
        <v>1144.2742297248478</v>
      </c>
      <c r="E43" s="385">
        <f>IFERROR('b（手動）計算用'!J41,"")</f>
        <v>0.7025223808668829</v>
      </c>
      <c r="F43" s="383">
        <f>IFERROR('b（手動）計算用'!H41,"")</f>
        <v>803.87825623091862</v>
      </c>
      <c r="G43" s="385">
        <f>IFERROR('b（手動）計算用'!K41,"")</f>
        <v>0.84</v>
      </c>
      <c r="H43" s="384">
        <f>IFERROR('b（手動）計算用'!L41,"")</f>
        <v>0</v>
      </c>
      <c r="I43" s="386">
        <f>IF(A43&gt;$G$3,"",IF(A43&lt;$F$3,"",IFERROR('b（手動）計算用'!M41,0)))</f>
        <v>0</v>
      </c>
      <c r="J43" s="383">
        <f>IFERROR('b（手動）計算用'!R41,"")</f>
        <v>803.87825623091862</v>
      </c>
      <c r="K43" s="384">
        <f>IFERROR('b（手動）計算用'!Q41,"")</f>
        <v>1144.2742297248478</v>
      </c>
      <c r="L43" s="385">
        <f>IFERROR('b（手動）計算用'!T41,"")</f>
        <v>0.84397925246181837</v>
      </c>
    </row>
    <row r="44" spans="1:12" ht="13.5" customHeight="1">
      <c r="A44" s="382">
        <v>47</v>
      </c>
      <c r="B44" s="383">
        <f>IFERROR('b（手動）計算用'!G42,"")</f>
        <v>24.361763919122062</v>
      </c>
      <c r="C44" s="383">
        <f>IFERROR('b（手動）計算用'!I42,"")</f>
        <v>27.798205217339628</v>
      </c>
      <c r="D44" s="384">
        <f>IFERROR('b（手動）計算用'!F42,"")</f>
        <v>1144.2742297248478</v>
      </c>
      <c r="E44" s="385">
        <f>IFERROR('b（手動）計算用'!J42,"")</f>
        <v>0.71770105109378557</v>
      </c>
      <c r="F44" s="383">
        <f>IFERROR('b（手動）計算用'!H42,"")</f>
        <v>821.24681741305517</v>
      </c>
      <c r="G44" s="385">
        <f>IFERROR('b（手動）計算用'!K42,"")</f>
        <v>0.84</v>
      </c>
      <c r="H44" s="384">
        <f>IFERROR('b（手動）計算用'!L42,"")</f>
        <v>0</v>
      </c>
      <c r="I44" s="386">
        <f>IF(A44&gt;$G$3,"",IF(A44&lt;$F$3,"",IFERROR('b（手動）計算用'!M42,0)))</f>
        <v>0</v>
      </c>
      <c r="J44" s="383">
        <f>IFERROR('b（手動）計算用'!R42,"")</f>
        <v>821.24681741305517</v>
      </c>
      <c r="K44" s="384">
        <f>IFERROR('b（手動）計算用'!Q42,"")</f>
        <v>1144.2742297248478</v>
      </c>
      <c r="L44" s="385">
        <f>IFERROR('b（手動）計算用'!T42,"")</f>
        <v>0.84898716684224174</v>
      </c>
    </row>
    <row r="45" spans="1:12" ht="13.5" customHeight="1">
      <c r="A45" s="382">
        <v>48</v>
      </c>
      <c r="B45" s="383">
        <f>IFERROR('b（手動）計算用'!G43,"")</f>
        <v>24.64053824799684</v>
      </c>
      <c r="C45" s="383">
        <f>IFERROR('b（手動）計算用'!I43,"")</f>
        <v>27.933867792113471</v>
      </c>
      <c r="D45" s="384">
        <f>IFERROR('b（手動）計算用'!F43,"")</f>
        <v>1144.2742297248478</v>
      </c>
      <c r="E45" s="385">
        <f>IFERROR('b（手動）計算用'!J43,"")</f>
        <v>0.7325709622106471</v>
      </c>
      <c r="F45" s="383">
        <f>IFERROR('b（手動）計算用'!H43,"")</f>
        <v>838.26207350237883</v>
      </c>
      <c r="G45" s="385">
        <f>IFERROR('b（手動）計算用'!K43,"")</f>
        <v>0.85</v>
      </c>
      <c r="H45" s="384">
        <f>IFERROR('b（手動）計算用'!L43,"")</f>
        <v>0</v>
      </c>
      <c r="I45" s="386">
        <f>IF(A45&gt;$G$3,"",IF(A45&lt;$F$3,"",IFERROR('b（手動）計算用'!M43,0)))</f>
        <v>0</v>
      </c>
      <c r="J45" s="383">
        <f>IFERROR('b（手動）計算用'!R43,"")</f>
        <v>838.26207350237883</v>
      </c>
      <c r="K45" s="384">
        <f>IFERROR('b（手動）計算用'!Q43,"")</f>
        <v>1144.2742297248478</v>
      </c>
      <c r="L45" s="385">
        <f>IFERROR('b（手動）計算用'!T43,"")</f>
        <v>0.85378500576525107</v>
      </c>
    </row>
    <row r="46" spans="1:12" ht="13.5" customHeight="1">
      <c r="A46" s="382">
        <v>49</v>
      </c>
      <c r="B46" s="383">
        <f>IFERROR('b（手動）計算用'!G44,"")</f>
        <v>24.911832078263824</v>
      </c>
      <c r="C46" s="383">
        <f>IFERROR('b（手動）計算用'!I44,"")</f>
        <v>28.064158977577119</v>
      </c>
      <c r="D46" s="384">
        <f>IFERROR('b（手動）計算用'!F44,"")</f>
        <v>1144.2742297248478</v>
      </c>
      <c r="E46" s="385">
        <f>IFERROR('b（手動）計算用'!J44,"")</f>
        <v>0.747133587876459</v>
      </c>
      <c r="F46" s="383">
        <f>IFERROR('b（手動）計算用'!H44,"")</f>
        <v>854.92571076889703</v>
      </c>
      <c r="G46" s="385">
        <f>IFERROR('b（手動）計算用'!K44,"")</f>
        <v>0.85</v>
      </c>
      <c r="H46" s="384">
        <f>IFERROR('b（手動）計算用'!L44,"")</f>
        <v>0</v>
      </c>
      <c r="I46" s="386">
        <f>IF(A46&gt;$G$3,"",IF(A46&lt;$F$3,"",IFERROR('b（手動）計算用'!M44,0)))</f>
        <v>0</v>
      </c>
      <c r="J46" s="383">
        <f>IFERROR('b（手動）計算用'!R44,"")</f>
        <v>854.92571076889703</v>
      </c>
      <c r="K46" s="384">
        <f>IFERROR('b（手動）計算用'!Q44,"")</f>
        <v>1144.2742297248478</v>
      </c>
      <c r="L46" s="385">
        <f>IFERROR('b（手動）計算用'!T44,"")</f>
        <v>0.85838368046682711</v>
      </c>
    </row>
    <row r="47" spans="1:12" ht="13.5" customHeight="1">
      <c r="A47" s="382">
        <v>50</v>
      </c>
      <c r="B47" s="383">
        <f>IFERROR('b（手動）計算用'!G45,"")</f>
        <v>25.175839841701567</v>
      </c>
      <c r="C47" s="383">
        <f>IFERROR('b（手動）計算用'!I45,"")</f>
        <v>28.189344270051308</v>
      </c>
      <c r="D47" s="384">
        <f>IFERROR('b（手動）計算用'!F45,"")</f>
        <v>1144.2742297248478</v>
      </c>
      <c r="E47" s="385">
        <f>IFERROR('b（手動）計算用'!J45,"")</f>
        <v>0.76139091043293206</v>
      </c>
      <c r="F47" s="383">
        <f>IFERROR('b（手動）計算用'!H45,"")</f>
        <v>871.23999755514399</v>
      </c>
      <c r="G47" s="385">
        <f>IFERROR('b（手動）計算用'!K45,"")</f>
        <v>0.86</v>
      </c>
      <c r="H47" s="384">
        <f>IFERROR('b（手動）計算用'!L45,"")</f>
        <v>0</v>
      </c>
      <c r="I47" s="386">
        <f>IF(A47&gt;$G$3,"",IF(A47&lt;$F$3,"",IFERROR('b（手動）計算用'!M45,0)))</f>
        <v>0</v>
      </c>
      <c r="J47" s="383">
        <f>IFERROR('b（手動）計算用'!R45,"")</f>
        <v>871.23999755514399</v>
      </c>
      <c r="K47" s="384">
        <f>IFERROR('b（手動）計算用'!Q45,"")</f>
        <v>1144.2742297248478</v>
      </c>
      <c r="L47" s="385">
        <f>IFERROR('b（手動）計算用'!T45,"")</f>
        <v>0.86279342623531075</v>
      </c>
    </row>
    <row r="48" spans="1:12" ht="13.5" customHeight="1">
      <c r="A48" s="382">
        <v>51</v>
      </c>
      <c r="B48" s="383">
        <f>IFERROR('b（手動）計算用'!G46,"")</f>
        <v>25.432752430488847</v>
      </c>
      <c r="C48" s="383">
        <f>IFERROR('b（手動）計算用'!I46,"")</f>
        <v>28.309673052928513</v>
      </c>
      <c r="D48" s="384">
        <f>IFERROR('b（手動）計算用'!F46,"")</f>
        <v>1144.2742297248478</v>
      </c>
      <c r="E48" s="385">
        <f>IFERROR('b（手動）計算用'!J46,"")</f>
        <v>0.77534535988546072</v>
      </c>
      <c r="F48" s="383">
        <f>IFERROR('b（手動）計算用'!H46,"")</f>
        <v>887.20771445367052</v>
      </c>
      <c r="G48" s="385">
        <f>IFERROR('b（手動）計算用'!K46,"")</f>
        <v>0.86</v>
      </c>
      <c r="H48" s="384">
        <f>IFERROR('b（手動）計算用'!L46,"")</f>
        <v>0</v>
      </c>
      <c r="I48" s="386">
        <f>IF(A48&gt;$G$3,"",IF(A48&lt;$F$3,"",IFERROR('b（手動）計算用'!M46,0)))</f>
        <v>0</v>
      </c>
      <c r="J48" s="383">
        <f>IFERROR('b（手動）計算用'!R46,"")</f>
        <v>887.20771445367052</v>
      </c>
      <c r="K48" s="384">
        <f>IFERROR('b（手動）計算用'!Q46,"")</f>
        <v>1144.2742297248478</v>
      </c>
      <c r="L48" s="385">
        <f>IFERROR('b（手動）計算用'!T46,"")</f>
        <v>0.86702384907914753</v>
      </c>
    </row>
    <row r="49" spans="1:12" ht="13.5" customHeight="1">
      <c r="A49" s="382">
        <v>52</v>
      </c>
      <c r="B49" s="383">
        <f>IFERROR('b（手動）計算用'!G47,"")</f>
        <v>25.682757035368347</v>
      </c>
      <c r="C49" s="383">
        <f>IFERROR('b（手動）計算用'!I47,"")</f>
        <v>28.425379734450601</v>
      </c>
      <c r="D49" s="384">
        <f>IFERROR('b（手動）計算用'!F47,"")</f>
        <v>1144.2742297248478</v>
      </c>
      <c r="E49" s="385">
        <f>IFERROR('b（手動）計算用'!J47,"")</f>
        <v>0.78899975837341019</v>
      </c>
      <c r="F49" s="383">
        <f>IFERROR('b（手動）計算用'!H47,"")</f>
        <v>902.832090765825</v>
      </c>
      <c r="G49" s="385">
        <f>IFERROR('b（手動）計算用'!K47,"")</f>
        <v>0.87</v>
      </c>
      <c r="H49" s="384">
        <f>IFERROR('b（手動）計算用'!L47,"")</f>
        <v>0</v>
      </c>
      <c r="I49" s="386">
        <f>IF(A49&gt;$G$3,"",IF(A49&lt;$F$3,"",IFERROR('b（手動）計算用'!M47,0)))</f>
        <v>0</v>
      </c>
      <c r="J49" s="383">
        <f>IFERROR('b（手動）計算用'!R47,"")</f>
        <v>902.832090765825</v>
      </c>
      <c r="K49" s="384">
        <f>IFERROR('b（手動）計算用'!Q47,"")</f>
        <v>1144.2742297248478</v>
      </c>
      <c r="L49" s="385">
        <f>IFERROR('b（手動）計算用'!T47,"")</f>
        <v>0.87108396901378649</v>
      </c>
    </row>
    <row r="50" spans="1:12" ht="13.5" customHeight="1">
      <c r="A50" s="382">
        <v>53</v>
      </c>
      <c r="B50" s="383">
        <f>IFERROR('b（手動）計算用'!G48,"")</f>
        <v>25.926037016324717</v>
      </c>
      <c r="C50" s="383">
        <f>IFERROR('b（手動）計算用'!I48,"")</f>
        <v>28.536684795261003</v>
      </c>
      <c r="D50" s="384">
        <f>IFERROR('b（手動）計算用'!F48,"")</f>
        <v>1144.2742297248478</v>
      </c>
      <c r="E50" s="385">
        <f>IFERROR('b（手動）計算用'!J48,"")</f>
        <v>0.80235726975522648</v>
      </c>
      <c r="F50" s="383">
        <f>IFERROR('b（手動）計算用'!H48,"")</f>
        <v>918.11674681329373</v>
      </c>
      <c r="G50" s="385">
        <f>IFERROR('b（手動）計算用'!K48,"")</f>
        <v>0.87</v>
      </c>
      <c r="H50" s="384">
        <f>IFERROR('b（手動）計算用'!L48,"")</f>
        <v>0</v>
      </c>
      <c r="I50" s="386">
        <f>IF(A50&gt;$G$3,"",IF(A50&lt;$F$3,"",IFERROR('b（手動）計算用'!M48,0)))</f>
        <v>0</v>
      </c>
      <c r="J50" s="383">
        <f>IFERROR('b（手動）計算用'!R48,"")</f>
        <v>918.11674681329373</v>
      </c>
      <c r="K50" s="384">
        <f>IFERROR('b（手動）計算用'!Q48,"")</f>
        <v>1144.2742297248478</v>
      </c>
      <c r="L50" s="385">
        <f>IFERROR('b（手動）計算用'!T48,"")</f>
        <v>0.87498226021542458</v>
      </c>
    </row>
    <row r="51" spans="1:12" ht="13.5" customHeight="1">
      <c r="A51" s="382">
        <v>54</v>
      </c>
      <c r="B51" s="383">
        <f>IFERROR('b（手動）計算用'!G49,"")</f>
        <v>26.162771803082592</v>
      </c>
      <c r="C51" s="383">
        <f>IFERROR('b（手動）計算用'!I49,"")</f>
        <v>28.643795753893226</v>
      </c>
      <c r="D51" s="384">
        <f>IFERROR('b（手動）計算用'!F49,"")</f>
        <v>1144.2742297248478</v>
      </c>
      <c r="E51" s="385">
        <f>IFERROR('b（手動）計算用'!J49,"")</f>
        <v>0.81542135394095006</v>
      </c>
      <c r="F51" s="383">
        <f>IFERROR('b（手動）計算用'!H49,"")</f>
        <v>933.06564168197315</v>
      </c>
      <c r="G51" s="385">
        <f>IFERROR('b（手動）計算用'!K49,"")</f>
        <v>0.87</v>
      </c>
      <c r="H51" s="384">
        <f>IFERROR('b（手動）計算用'!L49,"")</f>
        <v>0</v>
      </c>
      <c r="I51" s="386">
        <f>IF(A51&gt;$G$3,"",IF(A51&lt;$F$3,"",IFERROR('b（手動）計算用'!M49,0)))</f>
        <v>0</v>
      </c>
      <c r="J51" s="383">
        <f>IFERROR('b（手動）計算用'!R49,"")</f>
        <v>933.06564168197315</v>
      </c>
      <c r="K51" s="384">
        <f>IFERROR('b（手動）計算用'!Q49,"")</f>
        <v>1144.2742297248478</v>
      </c>
      <c r="L51" s="385">
        <f>IFERROR('b（手動）計算用'!T49,"")</f>
        <v>0.87872668827096478</v>
      </c>
    </row>
    <row r="52" spans="1:12" ht="13.5" customHeight="1">
      <c r="A52" s="382">
        <v>55</v>
      </c>
      <c r="B52" s="383">
        <f>IFERROR('b（手動）計算用'!G50,"")</f>
        <v>26.393136822696903</v>
      </c>
      <c r="C52" s="383">
        <f>IFERROR('b（手動）計算用'!I50,"")</f>
        <v>28.746908057465127</v>
      </c>
      <c r="D52" s="384">
        <f>IFERROR('b（手動）計算用'!F50,"")</f>
        <v>1144.2742297248478</v>
      </c>
      <c r="E52" s="385">
        <f>IFERROR('b（手動）計算用'!J50,"")</f>
        <v>0.82819572561495813</v>
      </c>
      <c r="F52" s="383">
        <f>IFERROR('b（手動）計算用'!H50,"")</f>
        <v>947.68302598946764</v>
      </c>
      <c r="G52" s="385">
        <f>IFERROR('b（手動）計算用'!K50,"")</f>
        <v>0.88</v>
      </c>
      <c r="H52" s="384">
        <f>IFERROR('b（手動）計算用'!L50,"")</f>
        <v>230</v>
      </c>
      <c r="I52" s="386">
        <f>IF(A52&gt;$G$3,"",IF(A52&lt;$F$3,"",IFERROR('b（手動）計算用'!M50,0)))</f>
        <v>0.2</v>
      </c>
      <c r="J52" s="383">
        <f>IFERROR('b（手動）計算用'!R50,"")</f>
        <v>872.07076710016054</v>
      </c>
      <c r="K52" s="384">
        <f>IFERROR('b（手動）計算用'!Q50,"")</f>
        <v>914.27422972484783</v>
      </c>
      <c r="L52" s="385">
        <f>IFERROR('b（手動）計算用'!T50,"")</f>
        <v>0.81192719070865715</v>
      </c>
    </row>
    <row r="53" spans="1:12" ht="13.5" customHeight="1">
      <c r="A53" s="382">
        <v>56</v>
      </c>
      <c r="B53" s="383">
        <f>IFERROR('b（手動）計算用'!G51,"")</f>
        <v>26.617303451534312</v>
      </c>
      <c r="C53" s="383">
        <f>IFERROR('b（手動）計算用'!I51,"")</f>
        <v>31.456839417259982</v>
      </c>
      <c r="D53" s="384">
        <f>IFERROR('b（手動）計算用'!F51,"")</f>
        <v>914.27422972484783</v>
      </c>
      <c r="E53" s="385">
        <f>IFERROR('b（手動）計算用'!J51,"")</f>
        <v>0.96879873210879464</v>
      </c>
      <c r="F53" s="383">
        <f>IFERROR('b（手動）計算用'!H51,"")</f>
        <v>885.74771455717746</v>
      </c>
      <c r="G53" s="385">
        <f>IFERROR('b（手動）計算用'!K51,"")</f>
        <v>0.81</v>
      </c>
      <c r="H53" s="384">
        <f>IFERROR('b（手動）計算用'!L51,"")</f>
        <v>0</v>
      </c>
      <c r="I53" s="386">
        <f>IF(A53&gt;$G$3,"",IF(A53&lt;$F$3,"",IFERROR('b（手動）計算用'!M51,0)))</f>
        <v>0</v>
      </c>
      <c r="J53" s="383">
        <f>IFERROR('b（手動）計算用'!R51,"")</f>
        <v>885.74771455717746</v>
      </c>
      <c r="K53" s="384">
        <f>IFERROR('b（手動）計算用'!Q51,"")</f>
        <v>914.27422972484783</v>
      </c>
      <c r="L53" s="385">
        <f>IFERROR('b（手動）計算用'!T51,"")</f>
        <v>0.81559499761738974</v>
      </c>
    </row>
    <row r="54" spans="1:12" ht="13.5" customHeight="1">
      <c r="A54" s="382">
        <v>57</v>
      </c>
      <c r="B54" s="383">
        <f>IFERROR('b（手動）計算用'!G52,"")</f>
        <v>26.835438989018716</v>
      </c>
      <c r="C54" s="383">
        <f>IFERROR('b（手動）計算用'!I52,"")</f>
        <v>31.571283556232814</v>
      </c>
      <c r="D54" s="384">
        <f>IFERROR('b（手動）計算用'!F52,"")</f>
        <v>914.27422972484783</v>
      </c>
      <c r="E54" s="385">
        <f>IFERROR('b（手動）計算用'!J52,"")</f>
        <v>0.98342865158053527</v>
      </c>
      <c r="F54" s="383">
        <f>IFERROR('b（手動）計算用'!H52,"")</f>
        <v>899.12347291313961</v>
      </c>
      <c r="G54" s="385">
        <f>IFERROR('b（手動）計算用'!K52,"")</f>
        <v>0.81</v>
      </c>
      <c r="H54" s="384">
        <f>IFERROR('b（手動）計算用'!L52,"")</f>
        <v>0</v>
      </c>
      <c r="I54" s="386">
        <f>IF(A54&gt;$G$3,"",IF(A54&lt;$F$3,"",IFERROR('b（手動）計算用'!M52,0)))</f>
        <v>0</v>
      </c>
      <c r="J54" s="383">
        <f>IFERROR('b（手動）計算用'!R52,"")</f>
        <v>899.12347291313961</v>
      </c>
      <c r="K54" s="384">
        <f>IFERROR('b（手動）計算用'!Q52,"")</f>
        <v>914.27422972484783</v>
      </c>
      <c r="L54" s="385">
        <f>IFERROR('b（手動）計算用'!T52,"")</f>
        <v>0.81912621888220172</v>
      </c>
    </row>
    <row r="55" spans="1:12" ht="13.5" customHeight="1">
      <c r="A55" s="382">
        <v>58</v>
      </c>
      <c r="B55" s="383">
        <f>IFERROR('b（手動）計算用'!G53,"")</f>
        <v>27.047706650624068</v>
      </c>
      <c r="C55" s="383">
        <f>IFERROR('b（手動）計算用'!I53,"")</f>
        <v>31.68163094721513</v>
      </c>
      <c r="D55" s="384">
        <f>IFERROR('b（手動）計算用'!F53,"")</f>
        <v>914.27422972484783</v>
      </c>
      <c r="E55" s="385">
        <f>IFERROR('b（手動）計算用'!J53,"")</f>
        <v>0.99773357311548982</v>
      </c>
      <c r="F55" s="383">
        <f>IFERROR('b（手動）計算用'!H53,"")</f>
        <v>912.20209403078456</v>
      </c>
      <c r="G55" s="385">
        <f>IFERROR('b（手動）計算用'!K53,"")</f>
        <v>0.82</v>
      </c>
      <c r="H55" s="384">
        <f>IFERROR('b（手動）計算用'!L53,"")</f>
        <v>0</v>
      </c>
      <c r="I55" s="386">
        <f>IF(A55&gt;$G$3,"",IF(A55&lt;$F$3,"",IFERROR('b（手動）計算用'!M53,0)))</f>
        <v>0</v>
      </c>
      <c r="J55" s="383">
        <f>IFERROR('b（手動）計算用'!R53,"")</f>
        <v>912.20209403078456</v>
      </c>
      <c r="K55" s="384">
        <f>IFERROR('b（手動）計算用'!Q53,"")</f>
        <v>914.27422972484783</v>
      </c>
      <c r="L55" s="385">
        <f>IFERROR('b（手動）計算用'!T53,"")</f>
        <v>0.82252702726410298</v>
      </c>
    </row>
    <row r="56" spans="1:12" ht="13.5" customHeight="1">
      <c r="A56" s="382">
        <v>59</v>
      </c>
      <c r="B56" s="383">
        <f>IFERROR('b（手動）計算用'!G54,"")</f>
        <v>27.25426557773557</v>
      </c>
      <c r="C56" s="383">
        <f>IFERROR('b（手動）計算用'!I54,"")</f>
        <v>31.78805990137991</v>
      </c>
      <c r="D56" s="384">
        <f>IFERROR('b（手動）計算用'!F54,"")</f>
        <v>914.27422972484783</v>
      </c>
      <c r="E56" s="385">
        <f>IFERROR('b（手動）計算用'!J54,"")</f>
        <v>1.0117181272233688</v>
      </c>
      <c r="F56" s="383">
        <f>IFERROR('b（手動）計算用'!H54,"")</f>
        <v>924.98781146581121</v>
      </c>
      <c r="G56" s="385">
        <f>IFERROR('b（手動）計算用'!K54,"")</f>
        <v>0.82</v>
      </c>
      <c r="H56" s="384">
        <f>IFERROR('b（手動）計算用'!L54,"")</f>
        <v>0</v>
      </c>
      <c r="I56" s="386">
        <f>IF(A56&gt;$G$3,"",IF(A56&lt;$F$3,"",IFERROR('b（手動）計算用'!M54,0)))</f>
        <v>0</v>
      </c>
      <c r="J56" s="383">
        <f>IFERROR('b（手動）計算用'!R54,"")</f>
        <v>924.98781146581121</v>
      </c>
      <c r="K56" s="384">
        <f>IFERROR('b（手動）計算用'!Q54,"")</f>
        <v>914.27422972484783</v>
      </c>
      <c r="L56" s="385">
        <f>IFERROR('b（手動）計算用'!T54,"")</f>
        <v>0.82580325923670583</v>
      </c>
    </row>
    <row r="57" spans="1:12" ht="13.5" customHeight="1">
      <c r="A57" s="382">
        <v>60</v>
      </c>
      <c r="B57" s="383">
        <f>IFERROR('b（手動）計算用'!G55,"")</f>
        <v>27.455270862155562</v>
      </c>
      <c r="C57" s="383">
        <f>IFERROR('b（手動）計算用'!I55,"")</f>
        <v>31.890739177455135</v>
      </c>
      <c r="D57" s="384">
        <f>IFERROR('b（手動）計算用'!F55,"")</f>
        <v>914.27422972484783</v>
      </c>
      <c r="E57" s="385">
        <f>IFERROR('b（手動）計算用'!J55,"")</f>
        <v>1.0253871112888739</v>
      </c>
      <c r="F57" s="383">
        <f>IFERROR('b（手動）計算用'!H55,"")</f>
        <v>937.48501134342212</v>
      </c>
      <c r="G57" s="385">
        <f>IFERROR('b（手動）計算用'!K55,"")</f>
        <v>0.82</v>
      </c>
      <c r="H57" s="384">
        <f>IFERROR('b（手動）計算用'!L55,"")</f>
        <v>0</v>
      </c>
      <c r="I57" s="386">
        <f>IF(A57&gt;$G$3,"",IF(A57&lt;$F$3,"",IFERROR('b（手動）計算用'!M55,0)))</f>
        <v>0</v>
      </c>
      <c r="J57" s="383">
        <f>IFERROR('b（手動）計算用'!R55,"")</f>
        <v>937.48501134342212</v>
      </c>
      <c r="K57" s="384">
        <f>IFERROR('b（手動）計算用'!Q55,"")</f>
        <v>914.27422972484783</v>
      </c>
      <c r="L57" s="385">
        <f>IFERROR('b（手動）計算用'!T55,"")</f>
        <v>0.82896043580875112</v>
      </c>
    </row>
    <row r="58" spans="1:12" ht="13.5" customHeight="1">
      <c r="A58" s="382">
        <v>61</v>
      </c>
      <c r="B58" s="383">
        <f>IFERROR('b（手動）計算用'!G56,"")</f>
        <v>27.650873583197519</v>
      </c>
      <c r="C58" s="383">
        <f>IFERROR('b（手動）計算用'!I56,"")</f>
        <v>31.989828584030956</v>
      </c>
      <c r="D58" s="384">
        <f>IFERROR('b（手動）計算用'!F56,"")</f>
        <v>914.27422972484783</v>
      </c>
      <c r="E58" s="385">
        <f>IFERROR('b（手動）計算用'!J56,"")</f>
        <v>1.0387454609487032</v>
      </c>
      <c r="F58" s="383">
        <f>IFERROR('b（手動）計算用'!H56,"")</f>
        <v>949.6982061890576</v>
      </c>
      <c r="G58" s="385">
        <f>IFERROR('b（手動）計算用'!K56,"")</f>
        <v>0.83</v>
      </c>
      <c r="H58" s="384">
        <f>IFERROR('b（手動）計算用'!L56,"")</f>
        <v>0</v>
      </c>
      <c r="I58" s="386">
        <f>IF(A58&gt;$G$3,"",IF(A58&lt;$F$3,"",IFERROR('b（手動）計算用'!M56,0)))</f>
        <v>0</v>
      </c>
      <c r="J58" s="383">
        <f>IFERROR('b（手動）計算用'!R56,"")</f>
        <v>949.6982061890576</v>
      </c>
      <c r="K58" s="384">
        <f>IFERROR('b（手動）計算用'!Q56,"")</f>
        <v>914.27422972484783</v>
      </c>
      <c r="L58" s="385">
        <f>IFERROR('b（手動）計算用'!T56,"")</f>
        <v>0.8320037819963616</v>
      </c>
    </row>
    <row r="59" spans="1:12" ht="13.5" customHeight="1">
      <c r="A59" s="382">
        <v>62</v>
      </c>
      <c r="B59" s="383">
        <f>IFERROR('b（手動）計算用'!G57,"")</f>
        <v>27.841220855483183</v>
      </c>
      <c r="C59" s="383">
        <f>IFERROR('b（手動）計算用'!I57,"")</f>
        <v>32.085479539893015</v>
      </c>
      <c r="D59" s="384">
        <f>IFERROR('b（手動）計算用'!F57,"")</f>
        <v>914.27422972484783</v>
      </c>
      <c r="E59" s="385">
        <f>IFERROR('b（手動）計算用'!J57,"")</f>
        <v>1.0517982244110489</v>
      </c>
      <c r="F59" s="383">
        <f>IFERROR('b（手動）計算用'!H57,"")</f>
        <v>961.63201144937432</v>
      </c>
      <c r="G59" s="385">
        <f>IFERROR('b（手動）計算用'!K57,"")</f>
        <v>0.83</v>
      </c>
      <c r="H59" s="384">
        <f>IFERROR('b（手動）計算用'!L57,"")</f>
        <v>0</v>
      </c>
      <c r="I59" s="386">
        <f>IF(A59&gt;$G$3,"",IF(A59&lt;$F$3,"",IFERROR('b（手動）計算用'!M57,0)))</f>
        <v>0</v>
      </c>
      <c r="J59" s="383">
        <f>IFERROR('b（手動）計算用'!R57,"")</f>
        <v>961.63201144937432</v>
      </c>
      <c r="K59" s="384">
        <f>IFERROR('b（手動）計算用'!Q57,"")</f>
        <v>914.27422972484783</v>
      </c>
      <c r="L59" s="385">
        <f>IFERROR('b（手動）計算用'!T57,"")</f>
        <v>0.83493824502780456</v>
      </c>
    </row>
    <row r="60" spans="1:12" ht="13.5" customHeight="1">
      <c r="A60" s="382">
        <v>63</v>
      </c>
      <c r="B60" s="383">
        <f>IFERROR('b（手動）計算用'!G58,"")</f>
        <v>28.026455885730172</v>
      </c>
      <c r="C60" s="383">
        <f>IFERROR('b（手動）計算用'!I58,"")</f>
        <v>32.177835595479465</v>
      </c>
      <c r="D60" s="384">
        <f>IFERROR('b（手動）計算用'!F58,"")</f>
        <v>914.27422972484783</v>
      </c>
      <c r="E60" s="385">
        <f>IFERROR('b（手動）計算用'!J58,"")</f>
        <v>1.0645505394492714</v>
      </c>
      <c r="F60" s="383">
        <f>IFERROR('b（手動）計算用'!H58,"")</f>
        <v>973.29112445815372</v>
      </c>
      <c r="G60" s="385">
        <f>IFERROR('b（手動）計算用'!K58,"")</f>
        <v>0.83</v>
      </c>
      <c r="H60" s="384">
        <f>IFERROR('b（手動）計算用'!L58,"")</f>
        <v>0</v>
      </c>
      <c r="I60" s="386">
        <f>IF(A60&gt;$G$3,"",IF(A60&lt;$F$3,"",IFERROR('b（手動）計算用'!M58,0)))</f>
        <v>0</v>
      </c>
      <c r="J60" s="383">
        <f>IFERROR('b（手動）計算用'!R58,"")</f>
        <v>973.29112445815372</v>
      </c>
      <c r="K60" s="384">
        <f>IFERROR('b（手動）計算用'!Q58,"")</f>
        <v>914.27422972484783</v>
      </c>
      <c r="L60" s="385">
        <f>IFERROR('b（手動）計算用'!T58,"")</f>
        <v>0.83776851135962616</v>
      </c>
    </row>
    <row r="61" spans="1:12" ht="13.5" customHeight="1">
      <c r="A61" s="382">
        <v>64</v>
      </c>
      <c r="B61" s="383">
        <f>IFERROR('b（手動）計算用'!G59,"")</f>
        <v>28.206718036985855</v>
      </c>
      <c r="C61" s="383">
        <f>IFERROR('b（手動）計算用'!I59,"")</f>
        <v>32.267032918314484</v>
      </c>
      <c r="D61" s="384">
        <f>IFERROR('b（手動）計算用'!F59,"")</f>
        <v>914.27422972484783</v>
      </c>
      <c r="E61" s="385">
        <f>IFERROR('b（手動）計算用'!J59,"")</f>
        <v>1.0770076128214428</v>
      </c>
      <c r="F61" s="383">
        <f>IFERROR('b（手動）計算用'!H59,"")</f>
        <v>984.68030562012166</v>
      </c>
      <c r="G61" s="385">
        <f>IFERROR('b（手動）計算用'!K59,"")</f>
        <v>0.84</v>
      </c>
      <c r="H61" s="384">
        <f>IFERROR('b（手動）計算用'!L59,"")</f>
        <v>0</v>
      </c>
      <c r="I61" s="386">
        <f>IF(A61&gt;$G$3,"",IF(A61&lt;$F$3,"",IFERROR('b（手動）計算用'!M59,0)))</f>
        <v>0</v>
      </c>
      <c r="J61" s="383">
        <f>IFERROR('b（手動）計算用'!R59,"")</f>
        <v>984.68030562012166</v>
      </c>
      <c r="K61" s="384">
        <f>IFERROR('b（手動）計算用'!Q59,"")</f>
        <v>914.27422972484783</v>
      </c>
      <c r="L61" s="385">
        <f>IFERROR('b（手動）計算用'!T59,"")</f>
        <v>0.84049902257911968</v>
      </c>
    </row>
    <row r="62" spans="1:12" ht="13.5" customHeight="1">
      <c r="A62" s="382">
        <v>65</v>
      </c>
      <c r="B62" s="383">
        <f>IFERROR('b（手動）計算用'!G60,"")</f>
        <v>28.382142898926077</v>
      </c>
      <c r="C62" s="383">
        <f>IFERROR('b（手動）計算用'!I60,"")</f>
        <v>32.353200745050863</v>
      </c>
      <c r="D62" s="384">
        <f>IFERROR('b（手動）計算用'!F60,"")</f>
        <v>914.27422972484783</v>
      </c>
      <c r="E62" s="385">
        <f>IFERROR('b（手動）計算用'!J60,"")</f>
        <v>1.0891747018870044</v>
      </c>
      <c r="F62" s="383">
        <f>IFERROR('b（手動）計算用'!H60,"")</f>
        <v>995.80436160353179</v>
      </c>
      <c r="G62" s="385">
        <f>IFERROR('b（手動）計算用'!K60,"")</f>
        <v>0.84</v>
      </c>
      <c r="H62" s="384">
        <f>IFERROR('b（手動）計算用'!L60,"")</f>
        <v>0</v>
      </c>
      <c r="I62" s="386">
        <f>IF(A62&gt;$G$3,"",IF(A62&lt;$F$3,"",IFERROR('b（手動）計算用'!M60,0)))</f>
        <v>0</v>
      </c>
      <c r="J62" s="383">
        <f>IFERROR('b（手動）計算用'!R60,"")</f>
        <v>995.80436160353179</v>
      </c>
      <c r="K62" s="384">
        <f>IFERROR('b（手動）計算用'!Q60,"")</f>
        <v>914.27422972484783</v>
      </c>
      <c r="L62" s="385">
        <f>IFERROR('b（手動）計算用'!T60,"")</f>
        <v>0.8431339902642484</v>
      </c>
    </row>
    <row r="63" spans="1:12" ht="13.5" customHeight="1">
      <c r="A63" s="382">
        <v>66</v>
      </c>
      <c r="B63" s="383">
        <f>IFERROR('b（手動）計算用'!G61,"")</f>
        <v>28.552862362990862</v>
      </c>
      <c r="C63" s="383">
        <f>IFERROR('b（手動）計算用'!I61,"")</f>
        <v>32.436461802551641</v>
      </c>
      <c r="D63" s="384">
        <f>IFERROR('b（手動）計算用'!F61,"")</f>
        <v>914.27422972484783</v>
      </c>
      <c r="E63" s="385">
        <f>IFERROR('b（手動）計算用'!J61,"")</f>
        <v>1.1010570982103898</v>
      </c>
      <c r="F63" s="383">
        <f>IFERROR('b（手動）計算用'!H61,"")</f>
        <v>1006.6681303493801</v>
      </c>
      <c r="G63" s="385">
        <f>IFERROR('b（手動）計算用'!K61,"")</f>
        <v>0.84</v>
      </c>
      <c r="H63" s="384">
        <f>IFERROR('b（手動）計算用'!L61,"")</f>
        <v>0</v>
      </c>
      <c r="I63" s="386">
        <f>IF(A63&gt;$G$3,"",IF(A63&lt;$F$3,"",IFERROR('b（手動）計算用'!M61,0)))</f>
        <v>0</v>
      </c>
      <c r="J63" s="383">
        <f>IFERROR('b（手動）計算用'!R61,"")</f>
        <v>1006.6681303493801</v>
      </c>
      <c r="K63" s="384">
        <f>IFERROR('b（手動）計算用'!Q61,"")</f>
        <v>914.27422972484783</v>
      </c>
      <c r="L63" s="385">
        <f>IFERROR('b（手動）計算用'!T61,"")</f>
        <v>0.84567740986833806</v>
      </c>
    </row>
    <row r="64" spans="1:12" ht="13.5" customHeight="1">
      <c r="A64" s="382">
        <v>67</v>
      </c>
      <c r="B64" s="383">
        <f>IFERROR('b（手動）計算用'!G62,"")</f>
        <v>28.719004701274081</v>
      </c>
      <c r="C64" s="383">
        <f>IFERROR('b（手動）計算用'!I62,"")</f>
        <v>32.516932700258167</v>
      </c>
      <c r="D64" s="384">
        <f>IFERROR('b（手動）計算用'!F62,"")</f>
        <v>914.27422972484783</v>
      </c>
      <c r="E64" s="385">
        <f>IFERROR('b（手動）計算用'!J62,"")</f>
        <v>1.1126601129593672</v>
      </c>
      <c r="F64" s="383">
        <f>IFERROR('b（手動）計算用'!H62,"")</f>
        <v>1017.2764677214876</v>
      </c>
      <c r="G64" s="385">
        <f>IFERROR('b（手動）計算用'!K62,"")</f>
        <v>0.84</v>
      </c>
      <c r="H64" s="384">
        <f>IFERROR('b（手動）計算用'!L62,"")</f>
        <v>0</v>
      </c>
      <c r="I64" s="386">
        <f>IF(A64&gt;$G$3,"",IF(A64&lt;$F$3,"",IFERROR('b（手動）計算用'!M62,0)))</f>
        <v>0</v>
      </c>
      <c r="J64" s="383">
        <f>IFERROR('b（手動）計算用'!R62,"")</f>
        <v>1017.2764677214876</v>
      </c>
      <c r="K64" s="384">
        <f>IFERROR('b（手動）計算用'!Q62,"")</f>
        <v>914.27422972484783</v>
      </c>
      <c r="L64" s="385">
        <f>IFERROR('b（手動）計算用'!T62,"")</f>
        <v>0.84813307369316104</v>
      </c>
    </row>
    <row r="65" spans="1:12" ht="13.5" customHeight="1">
      <c r="A65" s="382">
        <v>68</v>
      </c>
      <c r="B65" s="383">
        <f>IFERROR('b（手動）計算用'!G63,"")</f>
        <v>28.880694648217556</v>
      </c>
      <c r="C65" s="383">
        <f>IFERROR('b（手動）計算用'!I63,"")</f>
        <v>32.59472429592283</v>
      </c>
      <c r="D65" s="384">
        <f>IFERROR('b（手動）計算用'!F63,"")</f>
        <v>914.27422972484783</v>
      </c>
      <c r="E65" s="385">
        <f>IFERROR('b（手動）計算用'!J63,"")</f>
        <v>1.1239890639225818</v>
      </c>
      <c r="F65" s="383">
        <f>IFERROR('b（手動）計算用'!H63,"")</f>
        <v>1027.6342356369712</v>
      </c>
      <c r="G65" s="385">
        <f>IFERROR('b（手動）計算用'!K63,"")</f>
        <v>0.85</v>
      </c>
      <c r="H65" s="384">
        <f>IFERROR('b（手動）計算用'!L63,"")</f>
        <v>0</v>
      </c>
      <c r="I65" s="386">
        <f>IF(A65&gt;$G$3,"",IF(A65&lt;$F$3,"",IFERROR('b（手動）計算用'!M63,0)))</f>
        <v>0</v>
      </c>
      <c r="J65" s="383">
        <f>IFERROR('b（手動）計算用'!R63,"")</f>
        <v>1027.6342356369712</v>
      </c>
      <c r="K65" s="384">
        <f>IFERROR('b（手動）計算用'!Q63,"")</f>
        <v>914.27422972484783</v>
      </c>
      <c r="L65" s="385">
        <f>IFERROR('b（手動）計算用'!T63,"")</f>
        <v>0.85050458301042253</v>
      </c>
    </row>
    <row r="66" spans="1:12" ht="13.5" customHeight="1">
      <c r="A66" s="382">
        <v>69</v>
      </c>
      <c r="B66" s="383">
        <f>IFERROR('b（手動）計算用'!G64,"")</f>
        <v>29.038053484283193</v>
      </c>
      <c r="C66" s="383">
        <f>IFERROR('b（手動）計算用'!I64,"")</f>
        <v>32.669942036629919</v>
      </c>
      <c r="D66" s="384">
        <f>IFERROR('b（手動）計算用'!F64,"")</f>
        <v>914.27422972484783</v>
      </c>
      <c r="E66" s="385">
        <f>IFERROR('b（手動）計算用'!J64,"")</f>
        <v>1.1350492639865601</v>
      </c>
      <c r="F66" s="383">
        <f>IFERROR('b（手動）計算用'!H64,"")</f>
        <v>1037.7462915310678</v>
      </c>
      <c r="G66" s="385">
        <f>IFERROR('b（手動）計算用'!K64,"")</f>
        <v>0.85</v>
      </c>
      <c r="H66" s="384">
        <f>IFERROR('b（手動）計算用'!L64,"")</f>
        <v>0</v>
      </c>
      <c r="I66" s="386">
        <f>IF(A66&gt;$G$3,"",IF(A66&lt;$F$3,"",IFERROR('b（手動）計算用'!M64,0)))</f>
        <v>0</v>
      </c>
      <c r="J66" s="383">
        <f>IFERROR('b（手動）計算用'!R64,"")</f>
        <v>1037.7462915310678</v>
      </c>
      <c r="K66" s="384">
        <f>IFERROR('b（手動）計算用'!Q64,"")</f>
        <v>914.27422972484783</v>
      </c>
      <c r="L66" s="385">
        <f>IFERROR('b（手動）計算用'!T64,"")</f>
        <v>0.85279535938815298</v>
      </c>
    </row>
    <row r="67" spans="1:12" ht="13.5" customHeight="1">
      <c r="A67" s="382">
        <v>70</v>
      </c>
      <c r="B67" s="383">
        <f>IFERROR('b（手動）計算用'!G65,"")</f>
        <v>29.191199120888513</v>
      </c>
      <c r="C67" s="383">
        <f>IFERROR('b（手動）計算用'!I65,"")</f>
        <v>32.742686276885834</v>
      </c>
      <c r="D67" s="384">
        <f>IFERROR('b（手動）計算用'!F65,"")</f>
        <v>914.27422972484783</v>
      </c>
      <c r="E67" s="385">
        <f>IFERROR('b（手動）計算用'!J65,"")</f>
        <v>1.1458460109270796</v>
      </c>
      <c r="F67" s="383">
        <f>IFERROR('b（手動）計算用'!H65,"")</f>
        <v>1047.6174790236453</v>
      </c>
      <c r="G67" s="385">
        <f>IFERROR('b（手動）計算用'!K65,"")</f>
        <v>0.85</v>
      </c>
      <c r="H67" s="384">
        <f>IFERROR('b（手動）計算用'!L65,"")</f>
        <v>0</v>
      </c>
      <c r="I67" s="386">
        <f>IF(A67&gt;$G$3,"",IF(A67&lt;$F$3,"",IFERROR('b（手動）計算用'!M65,0)))</f>
        <v>0</v>
      </c>
      <c r="J67" s="383">
        <f>IFERROR('b（手動）計算用'!R65,"")</f>
        <v>1047.6174790236453</v>
      </c>
      <c r="K67" s="384">
        <f>IFERROR('b（手動）計算用'!Q65,"")</f>
        <v>914.27422972484783</v>
      </c>
      <c r="L67" s="385">
        <f>IFERROR('b（手動）計算用'!T65,"")</f>
        <v>0.85500865527514358</v>
      </c>
    </row>
    <row r="68" spans="1:12" ht="13.5" customHeight="1">
      <c r="A68" s="382">
        <v>71</v>
      </c>
      <c r="B68" s="383">
        <f>IFERROR('b（手動）計算用'!G66,"")</f>
        <v>29.340246185992296</v>
      </c>
      <c r="C68" s="383">
        <f>IFERROR('b（手動）計算用'!I66,"")</f>
        <v>32.813052575428067</v>
      </c>
      <c r="D68" s="384">
        <f>IFERROR('b（手動）計算用'!F66,"")</f>
        <v>914.27422972484783</v>
      </c>
      <c r="E68" s="385">
        <f>IFERROR('b（手動）計算用'!J66,"")</f>
        <v>1.1563845783833997</v>
      </c>
      <c r="F68" s="383">
        <f>IFERROR('b（手動）計算用'!H66,"")</f>
        <v>1057.2526196671756</v>
      </c>
      <c r="G68" s="385">
        <f>IFERROR('b（手動）計算用'!K66,"")</f>
        <v>0.85</v>
      </c>
      <c r="H68" s="384">
        <f>IFERROR('b（手動）計算用'!L66,"")</f>
        <v>0</v>
      </c>
      <c r="I68" s="386">
        <f>IF(A68&gt;$G$3,"",IF(A68&lt;$F$3,"",IFERROR('b（手動）計算用'!M66,0)))</f>
        <v>0</v>
      </c>
      <c r="J68" s="383">
        <f>IFERROR('b（手動）計算用'!R66,"")</f>
        <v>1057.2526196671756</v>
      </c>
      <c r="K68" s="384">
        <f>IFERROR('b（手動）計算用'!Q66,"")</f>
        <v>914.27422972484783</v>
      </c>
      <c r="L68" s="385">
        <f>IFERROR('b（手動）計算用'!T66,"")</f>
        <v>0.8571475638933076</v>
      </c>
    </row>
    <row r="69" spans="1:12" ht="13.5" customHeight="1">
      <c r="A69" s="382">
        <v>72</v>
      </c>
      <c r="B69" s="383">
        <f>IFERROR('b（手動）計算用'!G67,"")</f>
        <v>29.485306109807635</v>
      </c>
      <c r="C69" s="383">
        <f>IFERROR('b（手動）計算用'!I67,"")</f>
        <v>32.8811319722804</v>
      </c>
      <c r="D69" s="384">
        <f>IFERROR('b（手動）計算用'!F67,"")</f>
        <v>914.27422972484783</v>
      </c>
      <c r="E69" s="385">
        <f>IFERROR('b（手動）計算用'!J67,"")</f>
        <v>1.1666702078963254</v>
      </c>
      <c r="F69" s="383">
        <f>IFERROR('b（手動）計算用'!H67,"")</f>
        <v>1066.656505667341</v>
      </c>
      <c r="G69" s="385">
        <f>IFERROR('b（手動）計算用'!K67,"")</f>
        <v>0.85</v>
      </c>
      <c r="H69" s="384">
        <f>IFERROR('b（手動）計算用'!L67,"")</f>
        <v>0</v>
      </c>
      <c r="I69" s="386">
        <f>IF(A69&gt;$G$3,"",IF(A69&lt;$F$3,"",IFERROR('b（手動）計算用'!M67,0)))</f>
        <v>0</v>
      </c>
      <c r="J69" s="383">
        <f>IFERROR('b（手動）計算用'!R67,"")</f>
        <v>1066.656505667341</v>
      </c>
      <c r="K69" s="384">
        <f>IFERROR('b（手動）計算用'!Q67,"")</f>
        <v>914.27422972484783</v>
      </c>
      <c r="L69" s="385">
        <f>IFERROR('b（手動）計算用'!T67,"")</f>
        <v>0.85921502848473585</v>
      </c>
    </row>
    <row r="70" spans="1:12" ht="13.5" customHeight="1">
      <c r="A70" s="382">
        <v>73</v>
      </c>
      <c r="B70" s="383">
        <f>IFERROR('b（手動）計算用'!G68,"")</f>
        <v>29.62648721020097</v>
      </c>
      <c r="C70" s="383">
        <f>IFERROR('b（手動）計算用'!I68,"")</f>
        <v>32.947011247470357</v>
      </c>
      <c r="D70" s="384">
        <f>IFERROR('b（手動）計算用'!F68,"")</f>
        <v>914.27422972484783</v>
      </c>
      <c r="E70" s="385">
        <f>IFERROR('b（手動）計算用'!J68,"")</f>
        <v>1.1767081019026238</v>
      </c>
      <c r="F70" s="383">
        <f>IFERROR('b（手動）計算用'!H68,"")</f>
        <v>1075.833893478009</v>
      </c>
      <c r="G70" s="385">
        <f>IFERROR('b（手動）計算用'!K68,"")</f>
        <v>0.86</v>
      </c>
      <c r="H70" s="384">
        <f>IFERROR('b（手動）計算用'!L68,"")</f>
        <v>0</v>
      </c>
      <c r="I70" s="386">
        <f>IF(A70&gt;$G$3,"",IF(A70&lt;$F$3,"",IFERROR('b（手動）計算用'!M68,0)))</f>
        <v>0</v>
      </c>
      <c r="J70" s="383">
        <f>IFERROR('b（手動）計算用'!R68,"")</f>
        <v>1075.833893478009</v>
      </c>
      <c r="K70" s="384">
        <f>IFERROR('b（手動）計算用'!Q68,"")</f>
        <v>914.27422972484783</v>
      </c>
      <c r="L70" s="385">
        <f>IFERROR('b（手動）計算用'!T68,"")</f>
        <v>0.86121385095724978</v>
      </c>
    </row>
    <row r="71" spans="1:12" ht="13.5" customHeight="1">
      <c r="A71" s="382">
        <v>74</v>
      </c>
      <c r="B71" s="383">
        <f>IFERROR('b（手動）計算用'!G69,"")</f>
        <v>29.763894777407348</v>
      </c>
      <c r="C71" s="383">
        <f>IFERROR('b（手動）計算用'!I69,"")</f>
        <v>33.010773162719303</v>
      </c>
      <c r="D71" s="384">
        <f>IFERROR('b（手動）計算用'!F69,"")</f>
        <v>914.27422972484783</v>
      </c>
      <c r="E71" s="385">
        <f>IFERROR('b（手動）計算用'!J69,"")</f>
        <v>1.1865034175887577</v>
      </c>
      <c r="F71" s="383">
        <f>IFERROR('b（手動）計算用'!H69,"")</f>
        <v>1084.7894981818608</v>
      </c>
      <c r="G71" s="385">
        <f>IFERROR('b（手動）計算用'!K69,"")</f>
        <v>0.86</v>
      </c>
      <c r="H71" s="384">
        <f>IFERROR('b（手動）計算用'!L69,"")</f>
        <v>0</v>
      </c>
      <c r="I71" s="386">
        <f>IF(A71&gt;$G$3,"",IF(A71&lt;$F$3,"",IFERROR('b（手動）計算用'!M69,0)))</f>
        <v>0</v>
      </c>
      <c r="J71" s="383">
        <f>IFERROR('b（手動）計算用'!R69,"")</f>
        <v>1084.7894981818608</v>
      </c>
      <c r="K71" s="384">
        <f>IFERROR('b（手動）計算用'!Q69,"")</f>
        <v>914.27422972484783</v>
      </c>
      <c r="L71" s="385">
        <f>IFERROR('b（手動）計算用'!T69,"")</f>
        <v>0.86314669996941906</v>
      </c>
    </row>
    <row r="72" spans="1:12" ht="13.5" customHeight="1">
      <c r="A72" s="382">
        <v>75</v>
      </c>
      <c r="B72" s="383">
        <f>IFERROR('b（手動）計算用'!G70,"")</f>
        <v>29.897631157755349</v>
      </c>
      <c r="C72" s="383">
        <f>IFERROR('b（手動）計算用'!I70,"")</f>
        <v>33.072496687320559</v>
      </c>
      <c r="D72" s="384">
        <f>IFERROR('b（手動）計算用'!F70,"")</f>
        <v>914.27422972484783</v>
      </c>
      <c r="E72" s="385">
        <f>IFERROR('b（手動）計算用'!J70,"")</f>
        <v>1.1960612615165087</v>
      </c>
      <c r="F72" s="383">
        <f>IFERROR('b（手動）計算用'!H70,"")</f>
        <v>1093.5279885767359</v>
      </c>
      <c r="G72" s="385">
        <f>IFERROR('b（手動）計算用'!K70,"")</f>
        <v>0.86</v>
      </c>
      <c r="H72" s="384">
        <f>IFERROR('b（手動）計算用'!L70,"")</f>
        <v>0</v>
      </c>
      <c r="I72" s="386">
        <f>IF(A72&gt;$G$3,"",IF(A72&lt;$F$3,"",IFERROR('b（手動）計算用'!M70,0)))</f>
        <v>0</v>
      </c>
      <c r="J72" s="383">
        <f>IFERROR('b（手動）計算用'!R70,"")</f>
        <v>1093.5279885767359</v>
      </c>
      <c r="K72" s="384">
        <f>IFERROR('b（手動）計算用'!Q70,"")</f>
        <v>914.27422972484783</v>
      </c>
      <c r="L72" s="385">
        <f>IFERROR('b（手動）計算用'!T70,"")</f>
        <v>0.86501611849332682</v>
      </c>
    </row>
    <row r="73" spans="1:12" ht="13.5" customHeight="1">
      <c r="A73" s="382">
        <v>76</v>
      </c>
      <c r="B73" s="383">
        <f>IFERROR('b（手動）計算用'!G71,"")</f>
        <v>30.027795836151071</v>
      </c>
      <c r="C73" s="383">
        <f>IFERROR('b（手動）計算用'!I71,"")</f>
        <v>33.132257209330369</v>
      </c>
      <c r="D73" s="384">
        <f>IFERROR('b（手動）計算用'!F71,"")</f>
        <v>914.27422972484783</v>
      </c>
      <c r="E73" s="385">
        <f>IFERROR('b（手動）計算用'!J71,"")</f>
        <v>1.2053866849417547</v>
      </c>
      <c r="F73" s="383">
        <f>IFERROR('b（手動）計算用'!H71,"")</f>
        <v>1102.0539828957105</v>
      </c>
      <c r="G73" s="385">
        <f>IFERROR('b（手動）計算用'!K71,"")</f>
        <v>0.86</v>
      </c>
      <c r="H73" s="384">
        <f>IFERROR('b（手動）計算用'!L71,"")</f>
        <v>0</v>
      </c>
      <c r="I73" s="386">
        <f>IF(A73&gt;$G$3,"",IF(A73&lt;$F$3,"",IFERROR('b（手動）計算用'!M71,0)))</f>
        <v>0</v>
      </c>
      <c r="J73" s="383">
        <f>IFERROR('b（手動）計算用'!R71,"")</f>
        <v>1102.0539828957105</v>
      </c>
      <c r="K73" s="384">
        <f>IFERROR('b（手動）計算用'!Q71,"")</f>
        <v>914.27422972484783</v>
      </c>
      <c r="L73" s="385">
        <f>IFERROR('b（手動）計算用'!T71,"")</f>
        <v>0.86682453089082323</v>
      </c>
    </row>
    <row r="74" spans="1:12" ht="13.5" customHeight="1">
      <c r="A74" s="382">
        <v>77</v>
      </c>
      <c r="B74" s="383">
        <f>IFERROR('b（手動）計算用'!G72,"")</f>
        <v>30.154485517118435</v>
      </c>
      <c r="C74" s="383">
        <f>IFERROR('b（手動）計算用'!I72,"")</f>
        <v>33.190126733114376</v>
      </c>
      <c r="D74" s="384">
        <f>IFERROR('b（手動）計算用'!F72,"")</f>
        <v>914.27422972484783</v>
      </c>
      <c r="E74" s="385">
        <f>IFERROR('b（手動）計算用'!J72,"")</f>
        <v>1.2144846797555513</v>
      </c>
      <c r="F74" s="383">
        <f>IFERROR('b（手動）計算用'!H72,"")</f>
        <v>1110.3720450961353</v>
      </c>
      <c r="G74" s="385">
        <f>IFERROR('b（手動）計算用'!K72,"")</f>
        <v>0.86</v>
      </c>
      <c r="H74" s="384">
        <f>IFERROR('b（手動）計算用'!L72,"")</f>
        <v>0</v>
      </c>
      <c r="I74" s="386">
        <f>IF(A74&gt;$G$3,"",IF(A74&lt;$F$3,"",IFERROR('b（手動）計算用'!M72,0)))</f>
        <v>0</v>
      </c>
      <c r="J74" s="383">
        <f>IFERROR('b（手動）計算用'!R72,"")</f>
        <v>1110.3720450961353</v>
      </c>
      <c r="K74" s="384">
        <f>IFERROR('b（手動）計算用'!Q72,"")</f>
        <v>914.27422972484783</v>
      </c>
      <c r="L74" s="385">
        <f>IFERROR('b（手動）計算用'!T72,"")</f>
        <v>0.86857424953660067</v>
      </c>
    </row>
    <row r="75" spans="1:12" ht="13.5" customHeight="1">
      <c r="A75" s="382">
        <v>78</v>
      </c>
      <c r="B75" s="383">
        <f>IFERROR('b（手動）計算用'!G73,"")</f>
        <v>30.277794204235548</v>
      </c>
      <c r="C75" s="383">
        <f>IFERROR('b（手動）計算用'!I73,"")</f>
        <v>33.246174064215388</v>
      </c>
      <c r="D75" s="384">
        <f>IFERROR('b（手動）計算用'!F73,"")</f>
        <v>914.27422972484783</v>
      </c>
      <c r="E75" s="385">
        <f>IFERROR('b（手動）計算用'!J73,"")</f>
        <v>1.2233601749838197</v>
      </c>
      <c r="F75" s="383">
        <f>IFERROR('b（手動）計算用'!H73,"")</f>
        <v>1118.4866816593867</v>
      </c>
      <c r="G75" s="385">
        <f>IFERROR('b（手動）計算用'!K73,"")</f>
        <v>0.87</v>
      </c>
      <c r="H75" s="384">
        <f>IFERROR('b（手動）計算用'!L73,"")</f>
        <v>0</v>
      </c>
      <c r="I75" s="386">
        <f>IF(A75&gt;$G$3,"",IF(A75&lt;$F$3,"",IFERROR('b（手動）計算用'!M73,0)))</f>
        <v>0</v>
      </c>
      <c r="J75" s="383">
        <f>IFERROR('b（手動）計算用'!R73,"")</f>
        <v>1118.4866816593867</v>
      </c>
      <c r="K75" s="384">
        <f>IFERROR('b（手動）計算用'!Q73,"")</f>
        <v>914.27422972484783</v>
      </c>
      <c r="L75" s="385">
        <f>IFERROR('b（手動）計算用'!T73,"")</f>
        <v>0.87026748101916784</v>
      </c>
    </row>
    <row r="76" spans="1:12" ht="13.5" customHeight="1">
      <c r="A76" s="382">
        <v>79</v>
      </c>
      <c r="B76" s="383">
        <f>IFERROR('b（手動）計算用'!G74,"")</f>
        <v>30.397813277842882</v>
      </c>
      <c r="C76" s="383">
        <f>IFERROR('b（手動）計算用'!I74,"")</f>
        <v>33.300464982436388</v>
      </c>
      <c r="D76" s="384">
        <f>IFERROR('b（手動）計算用'!F74,"")</f>
        <v>914.27422972484783</v>
      </c>
      <c r="E76" s="385">
        <f>IFERROR('b（手動）計算用'!J74,"")</f>
        <v>1.2320180337883466</v>
      </c>
      <c r="F76" s="383">
        <f>IFERROR('b（手動）計算用'!H74,"")</f>
        <v>1126.4023388489622</v>
      </c>
      <c r="G76" s="385">
        <f>IFERROR('b（手動）計算用'!K74,"")</f>
        <v>0.87</v>
      </c>
      <c r="H76" s="384">
        <f>IFERROR('b（手動）計算用'!L74,"")</f>
        <v>0</v>
      </c>
      <c r="I76" s="386">
        <f>IF(A76&gt;$G$3,"",IF(A76&lt;$F$3,"",IFERROR('b（手動）計算用'!M74,0)))</f>
        <v>0</v>
      </c>
      <c r="J76" s="383">
        <f>IFERROR('b（手動）計算用'!R74,"")</f>
        <v>1126.4023388489622</v>
      </c>
      <c r="K76" s="384">
        <f>IFERROR('b（手動）計算用'!Q74,"")</f>
        <v>914.27422972484783</v>
      </c>
      <c r="L76" s="385">
        <f>IFERROR('b（手動）計算用'!T74,"")</f>
        <v>0.8719063319486613</v>
      </c>
    </row>
    <row r="77" spans="1:12" ht="13.5" customHeight="1">
      <c r="A77" s="382">
        <v>80</v>
      </c>
      <c r="B77" s="383">
        <f>IFERROR('b（手動）計算用'!G75,"")</f>
        <v>30.514631570930302</v>
      </c>
      <c r="C77" s="383">
        <f>IFERROR('b（手動）計算用'!I75,"")</f>
        <v>33.353062403968352</v>
      </c>
      <c r="D77" s="384">
        <f>IFERROR('b（手動）計算用'!F75,"")</f>
        <v>914.27422972484783</v>
      </c>
      <c r="E77" s="385">
        <f>IFERROR('b（手動）計算用'!J75,"")</f>
        <v>1.2404630509176864</v>
      </c>
      <c r="F77" s="383">
        <f>IFERROR('b（手動）計算用'!H75,"")</f>
        <v>1134.1234003799025</v>
      </c>
      <c r="G77" s="385">
        <f>IFERROR('b（手動）計算用'!K75,"")</f>
        <v>0.87</v>
      </c>
      <c r="H77" s="384">
        <f>IFERROR('b（手動）計算用'!L75,"")</f>
        <v>0</v>
      </c>
      <c r="I77" s="386">
        <f>IF(A77&gt;$G$3,"",IF(A77&lt;$F$3,"",IFERROR('b（手動）計算用'!M75,0)))</f>
        <v>0</v>
      </c>
      <c r="J77" s="383">
        <f>IFERROR('b（手動）計算用'!R75,"")</f>
        <v>1134.1234003799025</v>
      </c>
      <c r="K77" s="384">
        <f>IFERROR('b（手動）計算用'!Q75,"")</f>
        <v>914.27422972484783</v>
      </c>
      <c r="L77" s="385">
        <f>IFERROR('b（手動）計算用'!T75,"")</f>
        <v>0.87349281439844451</v>
      </c>
    </row>
    <row r="78" spans="1:12" ht="13.5" customHeight="1">
      <c r="A78" s="382">
        <v>81</v>
      </c>
      <c r="B78" s="383">
        <f>IFERROR('b（手動）計算用'!G76,"")</f>
        <v>30.628335443136372</v>
      </c>
      <c r="C78" s="383">
        <f>IFERROR('b（手動）計算用'!I76,"")</f>
        <v>33.40402653332923</v>
      </c>
      <c r="D78" s="384">
        <f>IFERROR('b（手動）計算用'!F76,"")</f>
        <v>914.27422972484783</v>
      </c>
      <c r="E78" s="385">
        <f>IFERROR('b（手動）計算用'!J76,"")</f>
        <v>1.2486999505616738</v>
      </c>
      <c r="F78" s="383">
        <f>IFERROR('b（手動）計算用'!H76,"")</f>
        <v>1141.6541854572299</v>
      </c>
      <c r="G78" s="385">
        <f>IFERROR('b（手動）計算用'!K76,"")</f>
        <v>0.87</v>
      </c>
      <c r="H78" s="384">
        <f>IFERROR('b（手動）計算用'!L76,"")</f>
        <v>0</v>
      </c>
      <c r="I78" s="386">
        <f>IF(A78&gt;$G$3,"",IF(A78&lt;$F$3,"",IFERROR('b（手動）計算用'!M76,0)))</f>
        <v>0</v>
      </c>
      <c r="J78" s="383">
        <f>IFERROR('b（手動）計算用'!R76,"")</f>
        <v>1141.6541854572299</v>
      </c>
      <c r="K78" s="384">
        <f>IFERROR('b（手動）計算用'!Q76,"")</f>
        <v>914.27422972484783</v>
      </c>
      <c r="L78" s="385">
        <f>IFERROR('b（手動）計算用'!T76,"")</f>
        <v>0.87502885100555394</v>
      </c>
    </row>
    <row r="79" spans="1:12" ht="13.5" customHeight="1">
      <c r="A79" s="382">
        <v>82</v>
      </c>
      <c r="B79" s="383">
        <f>IFERROR('b（手動）計算用'!G77,"")</f>
        <v>30.739008852816088</v>
      </c>
      <c r="C79" s="383">
        <f>IFERROR('b（手動）計算用'!I77,"")</f>
        <v>33.453415005825867</v>
      </c>
      <c r="D79" s="384">
        <f>IFERROR('b（手動）計算用'!F77,"")</f>
        <v>914.27422972484783</v>
      </c>
      <c r="E79" s="385">
        <f>IFERROR('b（手動）計算用'!J77,"")</f>
        <v>1.2567333845680555</v>
      </c>
      <c r="F79" s="383">
        <f>IFERROR('b（手動）計算用'!H77,"")</f>
        <v>1148.9989471454599</v>
      </c>
      <c r="G79" s="385">
        <f>IFERROR('b（手動）計算用'!K77,"")</f>
        <v>0.87</v>
      </c>
      <c r="H79" s="384">
        <f>IFERROR('b（手動）計算用'!L77,"")</f>
        <v>0</v>
      </c>
      <c r="I79" s="386">
        <f>IF(A79&gt;$G$3,"",IF(A79&lt;$F$3,"",IFERROR('b（手動）計算用'!M77,0)))</f>
        <v>0</v>
      </c>
      <c r="J79" s="383">
        <f>IFERROR('b（手動）計算用'!R77,"")</f>
        <v>1148.9989471454599</v>
      </c>
      <c r="K79" s="384">
        <f>IFERROR('b（手動）計算用'!Q77,"")</f>
        <v>914.27422972484783</v>
      </c>
      <c r="L79" s="385">
        <f>IFERROR('b（手動）計算用'!T77,"")</f>
        <v>0.87651627975332069</v>
      </c>
    </row>
    <row r="80" spans="1:12" ht="13.5" customHeight="1">
      <c r="A80" s="382">
        <v>83</v>
      </c>
      <c r="B80" s="383">
        <f>IFERROR('b（手動）計算用'!G78,"")</f>
        <v>30.846733427152206</v>
      </c>
      <c r="C80" s="383">
        <f>IFERROR('b（手動）計算用'!I78,"")</f>
        <v>33.501283021197061</v>
      </c>
      <c r="D80" s="384">
        <f>IFERROR('b（手動）計算用'!F78,"")</f>
        <v>914.27422972484783</v>
      </c>
      <c r="E80" s="385">
        <f>IFERROR('b（手動）計算用'!J78,"")</f>
        <v>1.2645679309839144</v>
      </c>
      <c r="F80" s="383">
        <f>IFERROR('b（手動）計算用'!H78,"")</f>
        <v>1156.1618710350629</v>
      </c>
      <c r="G80" s="385">
        <f>IFERROR('b（手動）計算用'!K78,"")</f>
        <v>0.87</v>
      </c>
      <c r="H80" s="384">
        <f>IFERROR('b（手動）計算用'!L78,"")</f>
        <v>0</v>
      </c>
      <c r="I80" s="386">
        <f>IF(A80&gt;$G$3,"",IF(A80&lt;$F$3,"",IFERROR('b（手動）計算用'!M78,0)))</f>
        <v>0</v>
      </c>
      <c r="J80" s="383">
        <f>IFERROR('b（手動）計算用'!R78,"")</f>
        <v>1156.1618710350629</v>
      </c>
      <c r="K80" s="384">
        <f>IFERROR('b（手動）計算用'!Q78,"")</f>
        <v>914.27422972484783</v>
      </c>
      <c r="L80" s="385">
        <f>IFERROR('b（手動）計算用'!T78,"")</f>
        <v>0.87795685845783789</v>
      </c>
    </row>
    <row r="81" spans="1:12" ht="13.5" customHeight="1">
      <c r="A81" s="382">
        <v>84</v>
      </c>
      <c r="B81" s="383">
        <f>IFERROR('b（手動）計算用'!G79,"")</f>
        <v>30.951588530301056</v>
      </c>
      <c r="C81" s="383">
        <f>IFERROR('b（手動）計算用'!I79,"")</f>
        <v>33.547683469047776</v>
      </c>
      <c r="D81" s="384">
        <f>IFERROR('b（手動）計算用'!F79,"")</f>
        <v>914.27422972484783</v>
      </c>
      <c r="E81" s="385">
        <f>IFERROR('b（手動）計算用'!J79,"")</f>
        <v>1.2722080928883592</v>
      </c>
      <c r="F81" s="383">
        <f>IFERROR('b（手動）計算用'!H79,"")</f>
        <v>1163.1470741752223</v>
      </c>
      <c r="G81" s="385">
        <f>IFERROR('b（手動）計算用'!K79,"")</f>
        <v>0.87</v>
      </c>
      <c r="H81" s="384">
        <f>IFERROR('b（手動）計算用'!L79,"")</f>
        <v>0</v>
      </c>
      <c r="I81" s="386">
        <f>IF(A81&gt;$G$3,"",IF(A81&lt;$F$3,"",IFERROR('b（手動）計算用'!M79,0)))</f>
        <v>0</v>
      </c>
      <c r="J81" s="383">
        <f>IFERROR('b（手動）計算用'!R79,"")</f>
        <v>1163.1470741752223</v>
      </c>
      <c r="K81" s="384">
        <f>IFERROR('b（手動）計算用'!Q79,"")</f>
        <v>914.27422972484783</v>
      </c>
      <c r="L81" s="385">
        <f>IFERROR('b（手動）計算用'!T79,"")</f>
        <v>0.87935226897842533</v>
      </c>
    </row>
    <row r="82" spans="1:12" ht="13.5" customHeight="1">
      <c r="A82" s="382">
        <v>85</v>
      </c>
      <c r="B82" s="383">
        <f>IFERROR('b（手動）計算用'!G80,"")</f>
        <v>31.053651329577239</v>
      </c>
      <c r="C82" s="383">
        <f>IFERROR('b（手動）計算用'!I80,"")</f>
        <v>33.592667046640045</v>
      </c>
      <c r="D82" s="384">
        <f>IFERROR('b（手動）計算用'!F80,"")</f>
        <v>914.27422972484783</v>
      </c>
      <c r="E82" s="385">
        <f>IFERROR('b（手動）計算用'!J80,"")</f>
        <v>1.279658297486352</v>
      </c>
      <c r="F82" s="383">
        <f>IFERROR('b（手動）計算用'!H80,"")</f>
        <v>1169.9586042453445</v>
      </c>
      <c r="G82" s="385">
        <f>IFERROR('b（手動）計算用'!K80,"")</f>
        <v>0.88</v>
      </c>
      <c r="H82" s="384">
        <f>IFERROR('b（手動）計算用'!L80,"")</f>
        <v>0</v>
      </c>
      <c r="I82" s="386">
        <f>IF(A82&gt;$G$3,"",IF(A82&lt;$F$3,"",IFERROR('b（手動）計算用'!M80,0)))</f>
        <v>0</v>
      </c>
      <c r="J82" s="383">
        <f>IFERROR('b（手動）計算用'!R80,"")</f>
        <v>1169.9586042453445</v>
      </c>
      <c r="K82" s="384">
        <f>IFERROR('b（手動）計算用'!Q80,"")</f>
        <v>914.27422972484783</v>
      </c>
      <c r="L82" s="385">
        <f>IFERROR('b（手動）計算用'!T80,"")</f>
        <v>0.88070412117081454</v>
      </c>
    </row>
    <row r="83" spans="1:12" ht="13.5" customHeight="1">
      <c r="A83" s="382">
        <v>86</v>
      </c>
      <c r="B83" s="383">
        <f>IFERROR('b（手動）計算用'!G81,"")</f>
        <v>31.152996859692191</v>
      </c>
      <c r="C83" s="383">
        <f>IFERROR('b（手動）計算用'!I81,"")</f>
        <v>33.636282369563631</v>
      </c>
      <c r="D83" s="384">
        <f>IFERROR('b（手動）計算用'!F81,"")</f>
        <v>914.27422972484783</v>
      </c>
      <c r="E83" s="385">
        <f>IFERROR('b（手動）計算用'!J81,"")</f>
        <v>1.2869228954365686</v>
      </c>
      <c r="F83" s="383">
        <f>IFERROR('b（手動）計算用'!H81,"")</f>
        <v>1176.6004389405396</v>
      </c>
      <c r="G83" s="385">
        <f>IFERROR('b（手動）計算用'!K81,"")</f>
        <v>0.88</v>
      </c>
      <c r="H83" s="384">
        <f>IFERROR('b（手動）計算用'!L81,"")</f>
        <v>0</v>
      </c>
      <c r="I83" s="386">
        <f>IF(A83&gt;$G$3,"",IF(A83&lt;$F$3,"",IFERROR('b（手動）計算用'!M81,0)))</f>
        <v>0</v>
      </c>
      <c r="J83" s="383">
        <f>IFERROR('b（手動）計算用'!R81,"")</f>
        <v>1176.6004389405396</v>
      </c>
      <c r="K83" s="384">
        <f>IFERROR('b（手動）計算用'!Q81,"")</f>
        <v>914.27422972484783</v>
      </c>
      <c r="L83" s="385">
        <f>IFERROR('b（手動）計算用'!T81,"")</f>
        <v>0.88201395660044746</v>
      </c>
    </row>
    <row r="84" spans="1:12" ht="13.5" customHeight="1">
      <c r="A84" s="382">
        <v>87</v>
      </c>
      <c r="B84" s="383">
        <f>IFERROR('b（手動）計算用'!G82,"")</f>
        <v>31.249698085070811</v>
      </c>
      <c r="C84" s="383">
        <f>IFERROR('b（手動）計算用'!I82,"")</f>
        <v>33.678576075772334</v>
      </c>
      <c r="D84" s="384">
        <f>IFERROR('b（手動）計算用'!F82,"")</f>
        <v>914.27422972484783</v>
      </c>
      <c r="E84" s="385">
        <f>IFERROR('b（手動）計算用'!J82,"")</f>
        <v>1.2940061603889765</v>
      </c>
      <c r="F84" s="383">
        <f>IFERROR('b（手動）計算用'!H82,"")</f>
        <v>1183.0764855488394</v>
      </c>
      <c r="G84" s="385">
        <f>IFERROR('b（手動）計算用'!K82,"")</f>
        <v>0.88</v>
      </c>
      <c r="H84" s="384">
        <f>IFERROR('b（手動）計算用'!L82,"")</f>
        <v>0</v>
      </c>
      <c r="I84" s="386">
        <f>IF(A84&gt;$G$3,"",IF(A84&lt;$F$3,"",IFERROR('b（手動）計算用'!M82,0)))</f>
        <v>0</v>
      </c>
      <c r="J84" s="383">
        <f>IFERROR('b（手動）計算用'!R82,"")</f>
        <v>1183.0764855488394</v>
      </c>
      <c r="K84" s="384">
        <f>IFERROR('b（手動）計算用'!Q82,"")</f>
        <v>914.27422972484783</v>
      </c>
      <c r="L84" s="385">
        <f>IFERROR('b（手動）計算用'!T82,"")</f>
        <v>0.88328325203205171</v>
      </c>
    </row>
    <row r="85" spans="1:12" ht="13.5" customHeight="1">
      <c r="A85" s="382">
        <v>88</v>
      </c>
      <c r="B85" s="383">
        <f>IFERROR('b（手動）計算用'!G83,"")</f>
        <v>31.34382596027713</v>
      </c>
      <c r="C85" s="383">
        <f>IFERROR('b（手動）計算用'!I83,"")</f>
        <v>33.719592923435386</v>
      </c>
      <c r="D85" s="384">
        <f>IFERROR('b（手動）計算用'!F83,"")</f>
        <v>914.27422972484783</v>
      </c>
      <c r="E85" s="385">
        <f>IFERROR('b（手動）計算用'!J83,"")</f>
        <v>1.3009122887101596</v>
      </c>
      <c r="F85" s="383">
        <f>IFERROR('b（手動）計算用'!H83,"")</f>
        <v>1189.3905807000701</v>
      </c>
      <c r="G85" s="385">
        <f>IFERROR('b（手動）計算用'!K83,"")</f>
        <v>0.88</v>
      </c>
      <c r="H85" s="384">
        <f>IFERROR('b（手動）計算用'!L83,"")</f>
        <v>0</v>
      </c>
      <c r="I85" s="386">
        <f>IF(A85&gt;$G$3,"",IF(A85&lt;$F$3,"",IFERROR('b（手動）計算用'!M83,0)))</f>
        <v>0</v>
      </c>
      <c r="J85" s="383">
        <f>IFERROR('b（手動）計算用'!R83,"")</f>
        <v>1189.3905807000701</v>
      </c>
      <c r="K85" s="384">
        <f>IFERROR('b（手動）計算用'!Q83,"")</f>
        <v>914.27422972484783</v>
      </c>
      <c r="L85" s="385">
        <f>IFERROR('b（手動）計算用'!T83,"")</f>
        <v>0.88451342271049904</v>
      </c>
    </row>
    <row r="86" spans="1:12" ht="13.5" customHeight="1">
      <c r="A86" s="382">
        <v>89</v>
      </c>
      <c r="B86" s="383">
        <f>IFERROR('b（手動）計算用'!G84,"")</f>
        <v>31.435449488585853</v>
      </c>
      <c r="C86" s="383">
        <f>IFERROR('b（手動）計算用'!I84,"")</f>
        <v>33.759375883020674</v>
      </c>
      <c r="D86" s="384">
        <f>IFERROR('b（手動）計算用'!F84,"")</f>
        <v>914.27422972484783</v>
      </c>
      <c r="E86" s="385">
        <f>IFERROR('b（手動）計算用'!J84,"")</f>
        <v>1.3076453993767005</v>
      </c>
      <c r="F86" s="383">
        <f>IFERROR('b（手動）計算用'!H84,"")</f>
        <v>1195.5464902683739</v>
      </c>
      <c r="G86" s="385">
        <f>IFERROR('b（手動）計算用'!K84,"")</f>
        <v>0.88</v>
      </c>
      <c r="H86" s="384">
        <f>IFERROR('b（手動）計算用'!L84,"")</f>
        <v>0</v>
      </c>
      <c r="I86" s="386">
        <f>IF(A86&gt;$G$3,"",IF(A86&lt;$F$3,"",IFERROR('b（手動）計算用'!M84,0)))</f>
        <v>0</v>
      </c>
      <c r="J86" s="383">
        <f>IFERROR('b（手動）計算用'!R84,"")</f>
        <v>1195.5464902683739</v>
      </c>
      <c r="K86" s="384">
        <f>IFERROR('b（手動）計算用'!Q84,"")</f>
        <v>914.27422972484783</v>
      </c>
      <c r="L86" s="385">
        <f>IFERROR('b（手動）計算用'!T84,"")</f>
        <v>0.88570582544689003</v>
      </c>
    </row>
    <row r="87" spans="1:12" ht="13.5" customHeight="1">
      <c r="A87" s="382">
        <v>90</v>
      </c>
      <c r="B87" s="383">
        <f>IFERROR('b（手動）計算用'!G85,"")</f>
        <v>31.52463577874099</v>
      </c>
      <c r="C87" s="383">
        <f>IFERROR('b（手動）計算用'!I85,"")</f>
        <v>33.797966223996639</v>
      </c>
      <c r="D87" s="384">
        <f>IFERROR('b（手動）計算用'!F85,"")</f>
        <v>914.27422972484783</v>
      </c>
      <c r="E87" s="385">
        <f>IFERROR('b（手動）計算用'!J85,"")</f>
        <v>1.3142095340188396</v>
      </c>
      <c r="F87" s="383">
        <f>IFERROR('b（手動）計算用'!H85,"")</f>
        <v>1201.5479094121258</v>
      </c>
      <c r="G87" s="385">
        <f>IFERROR('b（手動）計算用'!K85,"")</f>
        <v>0.88</v>
      </c>
      <c r="H87" s="384">
        <f>IFERROR('b（手動）計算用'!L85,"")</f>
        <v>0</v>
      </c>
      <c r="I87" s="386">
        <f>IF(A87&gt;$G$3,"",IF(A87&lt;$F$3,"",IFERROR('b（手動）計算用'!M85,0)))</f>
        <v>0</v>
      </c>
      <c r="J87" s="383">
        <f>IFERROR('b（手動）計算用'!R85,"")</f>
        <v>1201.5479094121258</v>
      </c>
      <c r="K87" s="384">
        <f>IFERROR('b（手動）計算用'!Q85,"")</f>
        <v>914.27422972484783</v>
      </c>
      <c r="L87" s="385">
        <f>IFERROR('b（手動）計算用'!T85,"")</f>
        <v>0.88686176152281748</v>
      </c>
    </row>
    <row r="88" spans="1:12" ht="13.5" customHeight="1">
      <c r="A88" s="382">
        <v>91</v>
      </c>
      <c r="B88" s="383">
        <f>IFERROR('b（手動）計算用'!G86,"")</f>
        <v>31.611450099945927</v>
      </c>
      <c r="C88" s="383">
        <f>IFERROR('b（手動）計算用'!I86,"")</f>
        <v>33.835403596511092</v>
      </c>
      <c r="D88" s="384">
        <f>IFERROR('b（手動）計算用'!F86,"")</f>
        <v>914.27422972484783</v>
      </c>
      <c r="E88" s="385">
        <f>IFERROR('b（手動）計算用'!J86,"")</f>
        <v>1.3206086570984057</v>
      </c>
      <c r="F88" s="383">
        <f>IFERROR('b（手動）計算用'!H86,"")</f>
        <v>1207.3984627366106</v>
      </c>
      <c r="G88" s="385">
        <f>IFERROR('b（手動）計算用'!K86,"")</f>
        <v>0.88</v>
      </c>
      <c r="H88" s="384">
        <f>IFERROR('b（手動）計算用'!L86,"")</f>
        <v>0</v>
      </c>
      <c r="I88" s="386">
        <f>IF(A88&gt;$G$3,"",IF(A88&lt;$F$3,"",IFERROR('b（手動）計算用'!M86,0)))</f>
        <v>0</v>
      </c>
      <c r="J88" s="383">
        <f>IFERROR('b（手動）計算用'!R86,"")</f>
        <v>1207.3984627366106</v>
      </c>
      <c r="K88" s="384">
        <f>IFERROR('b（手動）計算用'!Q86,"")</f>
        <v>914.27422972484783</v>
      </c>
      <c r="L88" s="385">
        <f>IFERROR('b（手動）計算用'!T86,"")</f>
        <v>0.88798247942484099</v>
      </c>
    </row>
    <row r="89" spans="1:12" ht="13.5" customHeight="1">
      <c r="A89" s="382">
        <v>92</v>
      </c>
      <c r="B89" s="383">
        <f>IFERROR('b（手動）計算用'!G87,"")</f>
        <v>31.695955935131838</v>
      </c>
      <c r="C89" s="383">
        <f>IFERROR('b（手動）計算用'!I87,"")</f>
        <v>33.871726108379306</v>
      </c>
      <c r="D89" s="384">
        <f>IFERROR('b（手動）計算用'!F87,"")</f>
        <v>914.27422972484783</v>
      </c>
      <c r="E89" s="385">
        <f>IFERROR('b（手動）計算用'!J87,"")</f>
        <v>1.3268466562065702</v>
      </c>
      <c r="F89" s="383">
        <f>IFERROR('b（手動）計算用'!H87,"")</f>
        <v>1213.101704566252</v>
      </c>
      <c r="G89" s="385">
        <f>IFERROR('b（手動）計算用'!K87,"")</f>
        <v>0.88</v>
      </c>
      <c r="H89" s="384">
        <f>IFERROR('b（手動）計算用'!L87,"")</f>
        <v>0</v>
      </c>
      <c r="I89" s="386">
        <f>IF(A89&gt;$G$3,"",IF(A89&lt;$F$3,"",IFERROR('b（手動）計算用'!M87,0)))</f>
        <v>0</v>
      </c>
      <c r="J89" s="383">
        <f>IFERROR('b（手動）計算用'!R87,"")</f>
        <v>1213.101704566252</v>
      </c>
      <c r="K89" s="384">
        <f>IFERROR('b（手動）計算用'!Q87,"")</f>
        <v>914.27422972484783</v>
      </c>
      <c r="L89" s="385">
        <f>IFERROR('b（手動）計算用'!T87,"")</f>
        <v>0.88906917742034242</v>
      </c>
    </row>
    <row r="90" spans="1:12" ht="13.5" customHeight="1">
      <c r="A90" s="382">
        <v>93</v>
      </c>
      <c r="B90" s="383">
        <f>IFERROR('b（手動）計算用'!G88,"")</f>
        <v>31.778215032552865</v>
      </c>
      <c r="C90" s="383">
        <f>IFERROR('b（手動）計算用'!I88,"")</f>
        <v>33.906970397690166</v>
      </c>
      <c r="D90" s="384">
        <f>IFERROR('b（手動）計算用'!F88,"")</f>
        <v>914.27422972484783</v>
      </c>
      <c r="E90" s="385">
        <f>IFERROR('b（手動）計算用'!J88,"")</f>
        <v>1.3329273424684287</v>
      </c>
      <c r="F90" s="383">
        <f>IFERROR('b（手動）計算用'!H88,"")</f>
        <v>1218.6611193145111</v>
      </c>
      <c r="G90" s="385">
        <f>IFERROR('b（手動）計算用'!K88,"")</f>
        <v>0.89</v>
      </c>
      <c r="H90" s="384">
        <f>IFERROR('b（手動）計算用'!L88,"")</f>
        <v>0</v>
      </c>
      <c r="I90" s="386">
        <f>IF(A90&gt;$G$3,"",IF(A90&lt;$F$3,"",IFERROR('b（手動）計算用'!M88,0)))</f>
        <v>0</v>
      </c>
      <c r="J90" s="383">
        <f>IFERROR('b（手動）計算用'!R88,"")</f>
        <v>1218.6611193145111</v>
      </c>
      <c r="K90" s="384">
        <f>IFERROR('b（手動）計算用'!Q88,"")</f>
        <v>914.27422972484783</v>
      </c>
      <c r="L90" s="385">
        <f>IFERROR('b（手動）計算用'!T88,"")</f>
        <v>0.89012300598515537</v>
      </c>
    </row>
    <row r="91" spans="1:12" ht="13.5" customHeight="1">
      <c r="A91" s="382">
        <v>94</v>
      </c>
      <c r="B91" s="383">
        <f>IFERROR('b（手動）計算用'!G89,"")</f>
        <v>31.858287455757491</v>
      </c>
      <c r="C91" s="383">
        <f>IFERROR('b（手動）計算用'!I89,"")</f>
        <v>33.9411717013163</v>
      </c>
      <c r="D91" s="384">
        <f>IFERROR('b（手動）計算用'!F89,"")</f>
        <v>914.27422972484783</v>
      </c>
      <c r="E91" s="385">
        <f>IFERROR('b（手動）計算用'!J89,"")</f>
        <v>1.3388544510426115</v>
      </c>
      <c r="F91" s="383">
        <f>IFERROR('b（手動）計算用'!H89,"")</f>
        <v>1224.0801219406676</v>
      </c>
      <c r="G91" s="385">
        <f>IFERROR('b（手動）計算用'!K89,"")</f>
        <v>0.89</v>
      </c>
      <c r="H91" s="384">
        <f>IFERROR('b（手動）計算用'!L89,"")</f>
        <v>0</v>
      </c>
      <c r="I91" s="386">
        <f>IF(A91&gt;$G$3,"",IF(A91&lt;$F$3,"",IFERROR('b（手動）計算用'!M89,0)))</f>
        <v>0</v>
      </c>
      <c r="J91" s="383">
        <f>IFERROR('b（手動）計算用'!R89,"")</f>
        <v>1224.0801219406676</v>
      </c>
      <c r="K91" s="384">
        <f>IFERROR('b（手動）計算用'!Q89,"")</f>
        <v>914.27422972484783</v>
      </c>
      <c r="L91" s="385">
        <f>IFERROR('b（手動）計算用'!T89,"")</f>
        <v>0.89114507009261501</v>
      </c>
    </row>
    <row r="92" spans="1:12" ht="13.5" customHeight="1">
      <c r="A92" s="382">
        <v>95</v>
      </c>
      <c r="B92" s="383">
        <f>IFERROR('b（手動）計算用'!G90,"")</f>
        <v>31.936231631986093</v>
      </c>
      <c r="C92" s="383">
        <f>IFERROR('b（手動）計算用'!I90,"")</f>
        <v>33.974363919594246</v>
      </c>
      <c r="D92" s="384">
        <f>IFERROR('b（手動）計算用'!F90,"")</f>
        <v>914.27422972484783</v>
      </c>
      <c r="E92" s="385">
        <f>IFERROR('b（手動）計算用'!J90,"")</f>
        <v>1.3446316417053499</v>
      </c>
      <c r="F92" s="383">
        <f>IFERROR('b（手動）計算用'!H90,"")</f>
        <v>1229.3620584838163</v>
      </c>
      <c r="G92" s="385">
        <f>IFERROR('b（手動）計算用'!K90,"")</f>
        <v>0.89</v>
      </c>
      <c r="H92" s="384">
        <f>IFERROR('b（手動）計算用'!L90,"")</f>
        <v>0</v>
      </c>
      <c r="I92" s="386">
        <f>IF(A92&gt;$G$3,"",IF(A92&lt;$F$3,"",IFERROR('b（手動）計算用'!M90,0)))</f>
        <v>0</v>
      </c>
      <c r="J92" s="383">
        <f>IFERROR('b（手動）計算用'!R90,"")</f>
        <v>1229.3620584838163</v>
      </c>
      <c r="K92" s="384">
        <f>IFERROR('b（手動）計算用'!Q90,"")</f>
        <v>914.27422972484783</v>
      </c>
      <c r="L92" s="385">
        <f>IFERROR('b（手動）計算用'!T90,"")</f>
        <v>0.89213643137299803</v>
      </c>
    </row>
    <row r="93" spans="1:12" ht="13.5" customHeight="1">
      <c r="A93" s="382">
        <v>96</v>
      </c>
      <c r="B93" s="383">
        <f>IFERROR('b（手動）計算用'!G91,"")</f>
        <v>32.012104399044432</v>
      </c>
      <c r="C93" s="383">
        <f>IFERROR('b（手動）計算用'!I91,"")</f>
        <v>34.006579677421342</v>
      </c>
      <c r="D93" s="384">
        <f>IFERROR('b（手動）計算用'!F91,"")</f>
        <v>914.27422972484783</v>
      </c>
      <c r="E93" s="385">
        <f>IFERROR('b（手動）計算用'!J91,"")</f>
        <v>1.3502624995093553</v>
      </c>
      <c r="F93" s="383">
        <f>IFERROR('b（手動）計算用'!H91,"")</f>
        <v>1234.5102066652635</v>
      </c>
      <c r="G93" s="385">
        <f>IFERROR('b（手動）計算用'!K91,"")</f>
        <v>0.89</v>
      </c>
      <c r="H93" s="384">
        <f>IFERROR('b（手動）計算用'!L91,"")</f>
        <v>0</v>
      </c>
      <c r="I93" s="386">
        <f>IF(A93&gt;$G$3,"",IF(A93&lt;$F$3,"",IFERROR('b（手動）計算用'!M91,0)))</f>
        <v>0</v>
      </c>
      <c r="J93" s="383">
        <f>IFERROR('b（手動）計算用'!R91,"")</f>
        <v>1234.5102066652635</v>
      </c>
      <c r="K93" s="384">
        <f>IFERROR('b（手動）計算用'!Q91,"")</f>
        <v>914.27422972484783</v>
      </c>
      <c r="L93" s="385">
        <f>IFERROR('b（手動）計算用'!T91,"")</f>
        <v>0.89309811015169294</v>
      </c>
    </row>
    <row r="94" spans="1:12" ht="13.5" customHeight="1">
      <c r="A94" s="382">
        <v>97</v>
      </c>
      <c r="B94" s="383">
        <f>IFERROR('b（手動）計算用'!G92,"")</f>
        <v>32.085961050702814</v>
      </c>
      <c r="C94" s="383">
        <f>IFERROR('b（手動）計算用'!I92,"")</f>
        <v>34.037850381998581</v>
      </c>
      <c r="D94" s="384">
        <f>IFERROR('b（手動）計算用'!F92,"")</f>
        <v>914.27422972484783</v>
      </c>
      <c r="E94" s="385">
        <f>IFERROR('b（手動）計算用'!J92,"")</f>
        <v>1.3557505355088539</v>
      </c>
      <c r="F94" s="383">
        <f>IFERROR('b（手動）計算用'!H92,"")</f>
        <v>1239.5277765514074</v>
      </c>
      <c r="G94" s="385">
        <f>IFERROR('b（手動）計算用'!K92,"")</f>
        <v>0.89</v>
      </c>
      <c r="H94" s="384">
        <f>IFERROR('b（手動）計算用'!L92,"")</f>
        <v>0</v>
      </c>
      <c r="I94" s="386">
        <f>IF(A94&gt;$G$3,"",IF(A94&lt;$F$3,"",IFERROR('b（手動）計算用'!M92,0)))</f>
        <v>0</v>
      </c>
      <c r="J94" s="383">
        <f>IFERROR('b（手動）計算用'!R92,"")</f>
        <v>1239.5277765514074</v>
      </c>
      <c r="K94" s="384">
        <f>IFERROR('b（手動）計算用'!Q92,"")</f>
        <v>914.27422972484783</v>
      </c>
      <c r="L94" s="385">
        <f>IFERROR('b（手動）計算用'!T92,"")</f>
        <v>0.89403108737385673</v>
      </c>
    </row>
    <row r="95" spans="1:12" ht="13.5" customHeight="1">
      <c r="A95" s="382">
        <v>98</v>
      </c>
      <c r="B95" s="383">
        <f>IFERROR('b（手動）計算用'!G93,"")</f>
        <v>32.157855380669837</v>
      </c>
      <c r="C95" s="383">
        <f>IFERROR('b（手動）計算用'!I93,"")</f>
        <v>34.068206277432594</v>
      </c>
      <c r="D95" s="384">
        <f>IFERROR('b（手動）計算用'!F93,"")</f>
        <v>914.27422972484783</v>
      </c>
      <c r="E95" s="385">
        <f>IFERROR('b（手動）計算用'!J93,"")</f>
        <v>1.3610991875429133</v>
      </c>
      <c r="F95" s="383">
        <f>IFERROR('b（手動）計算用'!H93,"")</f>
        <v>1244.4179112699132</v>
      </c>
      <c r="G95" s="385">
        <f>IFERROR('b（手動）計算用'!K93,"")</f>
        <v>0.89</v>
      </c>
      <c r="H95" s="384">
        <f>IFERROR('b（手動）計算用'!L93,"")</f>
        <v>0</v>
      </c>
      <c r="I95" s="386">
        <f>IF(A95&gt;$G$3,"",IF(A95&lt;$F$3,"",IFERROR('b（手動）計算用'!M93,0)))</f>
        <v>0</v>
      </c>
      <c r="J95" s="383">
        <f>IFERROR('b（手動）計算用'!R93,"")</f>
        <v>1244.4179112699132</v>
      </c>
      <c r="K95" s="384">
        <f>IFERROR('b（手動）計算用'!Q93,"")</f>
        <v>914.27422972484783</v>
      </c>
      <c r="L95" s="385">
        <f>IFERROR('b（手動）計算用'!T93,"")</f>
        <v>0.89493630642276578</v>
      </c>
    </row>
    <row r="96" spans="1:12" ht="13.5" customHeight="1">
      <c r="A96" s="382">
        <v>99</v>
      </c>
      <c r="B96" s="383">
        <f>IFERROR('b（手動）計算用'!G94,"")</f>
        <v>32.227839725188701</v>
      </c>
      <c r="C96" s="383">
        <f>IFERROR('b（手動）計算用'!I94,"")</f>
        <v>34.097676496394733</v>
      </c>
      <c r="D96" s="384">
        <f>IFERROR('b（手動）計算用'!F94,"")</f>
        <v>914.27422972484783</v>
      </c>
      <c r="E96" s="385">
        <f>IFERROR('b（手動）計算用'!J94,"")</f>
        <v>1.3663118210699279</v>
      </c>
      <c r="F96" s="383">
        <f>IFERROR('b（手動）計算用'!H94,"")</f>
        <v>1249.1836877726623</v>
      </c>
      <c r="G96" s="385">
        <f>IFERROR('b（手動）計算用'!K94,"")</f>
        <v>0.89</v>
      </c>
      <c r="H96" s="384">
        <f>IFERROR('b（手動）計算用'!L94,"")</f>
        <v>0</v>
      </c>
      <c r="I96" s="386">
        <f>IF(A96&gt;$G$3,"",IF(A96&lt;$F$3,"",IFERROR('b（手動）計算用'!M94,0)))</f>
        <v>0</v>
      </c>
      <c r="J96" s="383">
        <f>IFERROR('b（手動）計算用'!R94,"")</f>
        <v>1249.1836877726623</v>
      </c>
      <c r="K96" s="384">
        <f>IFERROR('b（手動）計算用'!Q94,"")</f>
        <v>914.27422972484783</v>
      </c>
      <c r="L96" s="385">
        <f>IFERROR('b（手動）計算用'!T94,"")</f>
        <v>0.89581467483857891</v>
      </c>
    </row>
    <row r="97" spans="1:12" ht="13.5" customHeight="1">
      <c r="A97" s="382">
        <v>100</v>
      </c>
      <c r="B97" s="383">
        <f>IFERROR('b（手動）計算用'!G95,"")</f>
        <v>32.295965004303454</v>
      </c>
      <c r="C97" s="383">
        <f>IFERROR('b（手動）計算用'!I95,"")</f>
        <v>34.126289109021592</v>
      </c>
      <c r="D97" s="384">
        <f>IFERROR('b（手動）計算用'!F95,"")</f>
        <v>914.27422972484783</v>
      </c>
      <c r="E97" s="385">
        <f>IFERROR('b（手動）計算用'!J95,"")</f>
        <v>1.3713917300468483</v>
      </c>
      <c r="F97" s="383">
        <f>IFERROR('b（手動）計算用'!H95,"")</f>
        <v>1253.8281176396088</v>
      </c>
      <c r="G97" s="385">
        <f>IFERROR('b（手動）計算用'!K95,"")</f>
        <v>0.89</v>
      </c>
      <c r="H97" s="384">
        <f>IFERROR('b（手動）計算用'!L95,"")</f>
        <v>0</v>
      </c>
      <c r="I97" s="386">
        <f>IF(A97&gt;$G$3,"",IF(A97&lt;$F$3,"",IFERROR('b（手動）計算用'!M95,0)))</f>
        <v>0</v>
      </c>
      <c r="J97" s="383">
        <f>IFERROR('b（手動）計算用'!R95,"")</f>
        <v>1253.8281176396088</v>
      </c>
      <c r="K97" s="384">
        <f>IFERROR('b（手動）計算用'!Q95,"")</f>
        <v>914.27422972484783</v>
      </c>
      <c r="L97" s="385">
        <f>IFERROR('b（手動）計算用'!T95,"")</f>
        <v>0.89666706594375056</v>
      </c>
    </row>
    <row r="98" spans="1:12" ht="13.5" customHeight="1">
      <c r="A98" s="382">
        <v>101</v>
      </c>
      <c r="B98" s="383">
        <f>IFERROR('b（手動）計算用'!G96,"")</f>
        <v>32.362280761840779</v>
      </c>
      <c r="C98" s="383">
        <f>IFERROR('b（手動）計算用'!I96,"")</f>
        <v>34.15407116922816</v>
      </c>
      <c r="D98" s="384">
        <f>IFERROR('b（手動）計算用'!F96,"")</f>
        <v>914.27422972484783</v>
      </c>
      <c r="E98" s="385">
        <f>IFERROR('b（手動）計算用'!J96,"")</f>
        <v>1.3763421378472771</v>
      </c>
      <c r="F98" s="383">
        <f>IFERROR('b（手動）計算用'!H96,"")</f>
        <v>1258.3541479181697</v>
      </c>
      <c r="G98" s="385">
        <f>IFERROR('b（手動）計算用'!K96,"")</f>
        <v>0.89</v>
      </c>
      <c r="H98" s="384">
        <f>IFERROR('b（手動）計算用'!L96,"")</f>
        <v>0</v>
      </c>
      <c r="I98" s="386">
        <f>IF(A98&gt;$G$3,"",IF(A98&lt;$F$3,"",IFERROR('b（手動）計算用'!M96,0)))</f>
        <v>0</v>
      </c>
      <c r="J98" s="383">
        <f>IFERROR('b（手動）計算用'!R96,"")</f>
        <v>1258.3541479181697</v>
      </c>
      <c r="K98" s="384">
        <f>IFERROR('b（手動）計算用'!Q96,"")</f>
        <v>914.27422972484783</v>
      </c>
      <c r="L98" s="385">
        <f>IFERROR('b（手動）計算用'!T96,"")</f>
        <v>0.89749432038091559</v>
      </c>
    </row>
    <row r="99" spans="1:12" ht="13.5" customHeight="1">
      <c r="A99" s="382">
        <v>102</v>
      </c>
      <c r="B99" s="383">
        <f>IFERROR('b（手動）計算用'!G97,"")</f>
        <v>32.426835204152212</v>
      </c>
      <c r="C99" s="383">
        <f>IFERROR('b（手動）計算用'!I97,"")</f>
        <v>34.181048758593313</v>
      </c>
      <c r="D99" s="384">
        <f>IFERROR('b（手動）計算用'!F97,"")</f>
        <v>914.27422972484783</v>
      </c>
      <c r="E99" s="385">
        <f>IFERROR('b（手動）計算用'!J97,"")</f>
        <v>1.3811661982131491</v>
      </c>
      <c r="F99" s="383">
        <f>IFERROR('b（手動）計算用'!H97,"")</f>
        <v>1262.7646619933234</v>
      </c>
      <c r="G99" s="385">
        <f>IFERROR('b（手動）計算用'!K97,"")</f>
        <v>0.89</v>
      </c>
      <c r="H99" s="384">
        <f>IFERROR('b（手動）計算用'!L97,"")</f>
        <v>0</v>
      </c>
      <c r="I99" s="386">
        <f>IF(A99&gt;$G$3,"",IF(A99&lt;$F$3,"",IFERROR('b（手動）計算用'!M97,0)))</f>
        <v>0</v>
      </c>
      <c r="J99" s="383">
        <f>IFERROR('b（手動）計算用'!R97,"")</f>
        <v>1262.7646619933234</v>
      </c>
      <c r="K99" s="384">
        <f>IFERROR('b（手動）計算用'!Q97,"")</f>
        <v>914.27422972484783</v>
      </c>
      <c r="L99" s="385">
        <f>IFERROR('b（手動）計算用'!T97,"")</f>
        <v>0.89829724756865503</v>
      </c>
    </row>
    <row r="100" spans="1:12" ht="13.5" customHeight="1">
      <c r="A100" s="382">
        <v>103</v>
      </c>
      <c r="B100" s="383">
        <f>IFERROR('b（手動）計算用'!G98,"")</f>
        <v>32.489675237659988</v>
      </c>
      <c r="C100" s="383">
        <f>IFERROR('b（手動）計算用'!I98,"")</f>
        <v>34.207247027966048</v>
      </c>
      <c r="D100" s="384">
        <f>IFERROR('b（手動）計算用'!F98,"")</f>
        <v>914.27422972484783</v>
      </c>
      <c r="E100" s="385">
        <f>IFERROR('b（手動）計算用'!J98,"")</f>
        <v>1.3858669962351871</v>
      </c>
      <c r="F100" s="383">
        <f>IFERROR('b（手動）計算用'!H98,"")</f>
        <v>1267.0624804840143</v>
      </c>
      <c r="G100" s="385">
        <f>IFERROR('b（手動）計算用'!K98,"")</f>
        <v>0.89</v>
      </c>
      <c r="H100" s="384">
        <f>IFERROR('b（手動）計算用'!L98,"")</f>
        <v>0</v>
      </c>
      <c r="I100" s="386">
        <f>IF(A100&gt;$G$3,"",IF(A100&lt;$F$3,"",IFERROR('b（手動）計算用'!M98,0)))</f>
        <v>0</v>
      </c>
      <c r="J100" s="383">
        <f>IFERROR('b（手動）計算用'!R98,"")</f>
        <v>1267.0624804840143</v>
      </c>
      <c r="K100" s="384">
        <f>IFERROR('b（手動）計算用'!Q98,"")</f>
        <v>914.27422972484783</v>
      </c>
      <c r="L100" s="385">
        <f>IFERROR('b（手動）計算用'!T98,"")</f>
        <v>0.89907662708019387</v>
      </c>
    </row>
    <row r="101" spans="1:12" ht="13.5" customHeight="1">
      <c r="A101" s="382">
        <v>104</v>
      </c>
      <c r="B101" s="383">
        <f>IFERROR('b（手動）計算用'!G99,"")</f>
        <v>32.550846505248529</v>
      </c>
      <c r="C101" s="383">
        <f>IFERROR('b（手動）計算用'!I99,"")</f>
        <v>34.232690236930701</v>
      </c>
      <c r="D101" s="384">
        <f>IFERROR('b（手動）計算用'!F99,"")</f>
        <v>914.27422972484783</v>
      </c>
      <c r="E101" s="385">
        <f>IFERROR('b（手動）計算用'!J99,"")</f>
        <v>1.3904475493577557</v>
      </c>
      <c r="F101" s="383">
        <f>IFERROR('b（手動）計算用'!H99,"")</f>
        <v>1271.2503621618644</v>
      </c>
      <c r="G101" s="385">
        <f>IFERROR('b（手動）計算用'!K99,"")</f>
        <v>0.89</v>
      </c>
      <c r="H101" s="384">
        <f>IFERROR('b（手動）計算用'!L99,"")</f>
        <v>0</v>
      </c>
      <c r="I101" s="386">
        <f>IF(A101&gt;$G$3,"",IF(A101&lt;$F$3,"",IFERROR('b（手動）計算用'!M99,0)))</f>
        <v>0</v>
      </c>
      <c r="J101" s="383">
        <f>IFERROR('b（手動）計算用'!R99,"")</f>
        <v>1271.2503621618644</v>
      </c>
      <c r="K101" s="384">
        <f>IFERROR('b（手動）計算用'!Q99,"")</f>
        <v>914.27422972484783</v>
      </c>
      <c r="L101" s="385">
        <f>IFERROR('b（手動）計算用'!T99,"")</f>
        <v>0.89983320994972549</v>
      </c>
    </row>
    <row r="102" spans="1:12" ht="13.5" customHeight="1">
      <c r="A102" s="382">
        <v>105</v>
      </c>
      <c r="B102" s="383">
        <f>IFERROR('b（手動）計算用'!G100,"")</f>
        <v>32.610393421542035</v>
      </c>
      <c r="C102" s="383">
        <f>IFERROR('b（手動）計算用'!I100,"")</f>
        <v>34.257401791260442</v>
      </c>
      <c r="D102" s="384">
        <f>IFERROR('b（手動）計算用'!F100,"")</f>
        <v>914.27422972484783</v>
      </c>
      <c r="E102" s="385">
        <f>IFERROR('b（手動）計算用'!J100,"")</f>
        <v>1.3949108084041728</v>
      </c>
      <c r="F102" s="383">
        <f>IFERROR('b（手動）計算用'!H100,"")</f>
        <v>1275.3310048885899</v>
      </c>
      <c r="G102" s="385">
        <f>IFERROR('b（手動）計算用'!K100,"")</f>
        <v>0.9</v>
      </c>
      <c r="H102" s="384">
        <f>IFERROR('b（手動）計算用'!L100,"")</f>
        <v>0</v>
      </c>
      <c r="I102" s="386">
        <f>IF(A102&gt;$G$3,"",IF(A102&lt;$F$3,"",IFERROR('b（手動）計算用'!M100,0)))</f>
        <v>0</v>
      </c>
      <c r="J102" s="383">
        <f>IFERROR('b（手動）計算用'!R100,"")</f>
        <v>1275.3310048885899</v>
      </c>
      <c r="K102" s="384">
        <f>IFERROR('b（手動）計算用'!Q100,"")</f>
        <v>914.27422972484783</v>
      </c>
      <c r="L102" s="385">
        <f>IFERROR('b（手動）計算用'!T100,"")</f>
        <v>0.90056771991075191</v>
      </c>
    </row>
    <row r="103" spans="1:12" ht="13.5" customHeight="1">
      <c r="A103" s="382">
        <v>106</v>
      </c>
      <c r="B103" s="383">
        <f>IFERROR('b（手動）計算用'!G101,"")</f>
        <v>32.668359207107322</v>
      </c>
      <c r="C103" s="383">
        <f>IFERROR('b（手動）計算用'!I101,"")</f>
        <v>34.281404278478611</v>
      </c>
      <c r="D103" s="384">
        <f>IFERROR('b（手動）計算用'!F101,"")</f>
        <v>914.27422972484783</v>
      </c>
      <c r="E103" s="385">
        <f>IFERROR('b（手動）計算用'!J101,"")</f>
        <v>1.3992596586188466</v>
      </c>
      <c r="F103" s="383">
        <f>IFERROR('b（手動）計算用'!H101,"")</f>
        <v>1279.3070465687995</v>
      </c>
      <c r="G103" s="385">
        <f>IFERROR('b（手動）計算用'!K101,"")</f>
        <v>0.9</v>
      </c>
      <c r="H103" s="384">
        <f>IFERROR('b（手動）計算用'!L101,"")</f>
        <v>0</v>
      </c>
      <c r="I103" s="386">
        <f>IF(A103&gt;$G$3,"",IF(A103&lt;$F$3,"",IFERROR('b（手動）計算用'!M101,0)))</f>
        <v>0</v>
      </c>
      <c r="J103" s="383">
        <f>IFERROR('b（手動）計算用'!R101,"")</f>
        <v>1279.3070465687995</v>
      </c>
      <c r="K103" s="384">
        <f>IFERROR('b（手動）計算用'!Q101,"")</f>
        <v>914.27422972484783</v>
      </c>
      <c r="L103" s="385">
        <f>IFERROR('b（手動）計算用'!T101,"")</f>
        <v>0.90128085457052409</v>
      </c>
    </row>
    <row r="104" spans="1:12" ht="13.5" customHeight="1">
      <c r="A104" s="382">
        <v>107</v>
      </c>
      <c r="B104" s="383">
        <f>IFERROR('b（手動）計算用'!G102,"")</f>
        <v>32.724785921619691</v>
      </c>
      <c r="C104" s="383">
        <f>IFERROR('b（手動）計算用'!I102,"")</f>
        <v>34.304719501640776</v>
      </c>
      <c r="D104" s="384">
        <f>IFERROR('b（手動）計算用'!F102,"")</f>
        <v>914.27422972484783</v>
      </c>
      <c r="E104" s="385">
        <f>IFERROR('b（手動）計算用'!J102,"")</f>
        <v>1.4034969207230255</v>
      </c>
      <c r="F104" s="383">
        <f>IFERROR('b（手動）計算用'!H102,"")</f>
        <v>1283.1810661152399</v>
      </c>
      <c r="G104" s="385">
        <f>IFERROR('b（手動）計算用'!K102,"")</f>
        <v>0.9</v>
      </c>
      <c r="H104" s="384">
        <f>IFERROR('b（手動）計算用'!L102,"")</f>
        <v>0</v>
      </c>
      <c r="I104" s="386">
        <f>IF(A104&gt;$G$3,"",IF(A104&lt;$F$3,"",IFERROR('b（手動）計算用'!M102,0)))</f>
        <v>0</v>
      </c>
      <c r="J104" s="383">
        <f>IFERROR('b（手動）計算用'!R102,"")</f>
        <v>1283.1810661152399</v>
      </c>
      <c r="K104" s="384">
        <f>IFERROR('b（手動）計算用'!Q102,"")</f>
        <v>914.27422972484783</v>
      </c>
      <c r="L104" s="385">
        <f>IFERROR('b（手動）計算用'!T102,"")</f>
        <v>0.90197328652440056</v>
      </c>
    </row>
    <row r="105" spans="1:12" ht="13.5" customHeight="1">
      <c r="A105" s="382">
        <v>108</v>
      </c>
      <c r="B105" s="383">
        <f>IFERROR('b（手動）計算用'!G103,"")</f>
        <v>32.779714496027857</v>
      </c>
      <c r="C105" s="383">
        <f>IFERROR('b（手動）計算用'!I103,"")</f>
        <v>34.327368511441513</v>
      </c>
      <c r="D105" s="384">
        <f>IFERROR('b（手動）計算用'!F103,"")</f>
        <v>914.27422972484783</v>
      </c>
      <c r="E105" s="385">
        <f>IFERROR('b（手動）計算用'!J103,"")</f>
        <v>1.4076253519811306</v>
      </c>
      <c r="F105" s="383">
        <f>IFERROR('b（手動）計算用'!H103,"")</f>
        <v>1286.9555844237159</v>
      </c>
      <c r="G105" s="385">
        <f>IFERROR('b（手動）計算用'!K103,"")</f>
        <v>0.9</v>
      </c>
      <c r="H105" s="384">
        <f>IFERROR('b（手動）計算用'!L103,"")</f>
        <v>0</v>
      </c>
      <c r="I105" s="386">
        <f>IF(A105&gt;$G$3,"",IF(A105&lt;$F$3,"",IFERROR('b（手動）計算用'!M103,0)))</f>
        <v>0</v>
      </c>
      <c r="J105" s="383">
        <f>IFERROR('b（手動）計算用'!R103,"")</f>
        <v>1286.9555844237159</v>
      </c>
      <c r="K105" s="384">
        <f>IFERROR('b（手動）計算用'!Q103,"")</f>
        <v>914.27422972484783</v>
      </c>
      <c r="L105" s="385">
        <f>IFERROR('b（手動）計算用'!T103,"")</f>
        <v>0.90264566441368199</v>
      </c>
    </row>
    <row r="106" spans="1:12" ht="13.5" customHeight="1">
      <c r="A106" s="382">
        <v>109</v>
      </c>
      <c r="B106" s="383">
        <f>IFERROR('b（手動）計算用'!G104,"")</f>
        <v>32.833184763753202</v>
      </c>
      <c r="C106" s="383">
        <f>IFERROR('b（手動）計算用'!I104,"")</f>
        <v>34.349371636743811</v>
      </c>
      <c r="D106" s="384">
        <f>IFERROR('b（手動）計算用'!F104,"")</f>
        <v>914.27422972484783</v>
      </c>
      <c r="E106" s="385">
        <f>IFERROR('b（手動）計算用'!J104,"")</f>
        <v>1.4116476472750283</v>
      </c>
      <c r="F106" s="383">
        <f>IFERROR('b（手動）計算用'!H104,"")</f>
        <v>1290.6330653552702</v>
      </c>
      <c r="G106" s="385">
        <f>IFERROR('b（手動）計算用'!K104,"")</f>
        <v>0.9</v>
      </c>
      <c r="H106" s="384">
        <f>IFERROR('b（手動）計算用'!L104,"")</f>
        <v>0</v>
      </c>
      <c r="I106" s="386">
        <f>IF(A106&gt;$G$3,"",IF(A106&lt;$F$3,"",IFERROR('b（手動）計算用'!M104,0)))</f>
        <v>0</v>
      </c>
      <c r="J106" s="383">
        <f>IFERROR('b（手動）計算用'!R104,"")</f>
        <v>1290.6330653552702</v>
      </c>
      <c r="K106" s="384">
        <f>IFERROR('b（手動）計算用'!Q104,"")</f>
        <v>914.27422972484783</v>
      </c>
      <c r="L106" s="385">
        <f>IFERROR('b（手動）計算用'!T104,"")</f>
        <v>0.90329861393024458</v>
      </c>
    </row>
    <row r="107" spans="1:12" ht="13.5" customHeight="1">
      <c r="A107" s="382">
        <v>110</v>
      </c>
      <c r="B107" s="383">
        <f>IFERROR('b（手動）計算用'!G105,"")</f>
        <v>32.885235490956617</v>
      </c>
      <c r="C107" s="383">
        <f>IFERROR('b（手動）計算用'!I105,"")</f>
        <v>34.370748513622367</v>
      </c>
      <c r="D107" s="384">
        <f>IFERROR('b（手動）計算用'!F105,"")</f>
        <v>914.27422972484783</v>
      </c>
      <c r="E107" s="385">
        <f>IFERROR('b（手動）計算用'!J105,"")</f>
        <v>1.4155664401837706</v>
      </c>
      <c r="F107" s="383">
        <f>IFERROR('b（手動）計算用'!H105,"")</f>
        <v>1294.2159167233617</v>
      </c>
      <c r="G107" s="385">
        <f>IFERROR('b（手動）計算用'!K105,"")</f>
        <v>0.9</v>
      </c>
      <c r="H107" s="384">
        <f>IFERROR('b（手動）計算用'!L105,"")</f>
        <v>0</v>
      </c>
      <c r="I107" s="386">
        <f>IF(A107&gt;$G$3,"",IF(A107&lt;$F$3,"",IFERROR('b（手動）計算用'!M105,0)))</f>
        <v>0</v>
      </c>
      <c r="J107" s="383">
        <f>IFERROR('b（手動）計算用'!R105,"")</f>
        <v>1294.2159167233617</v>
      </c>
      <c r="K107" s="384">
        <f>IFERROR('b（手動）計算用'!Q105,"")</f>
        <v>914.27422972484783</v>
      </c>
      <c r="L107" s="385">
        <f>IFERROR('b（手動）計算用'!T105,"")</f>
        <v>0.90393273877108316</v>
      </c>
    </row>
    <row r="108" spans="1:12" ht="13.5" customHeight="1">
      <c r="A108" s="382">
        <v>111</v>
      </c>
      <c r="B108" s="383">
        <f>IFERROR('b（手動）計算用'!G106,"")</f>
        <v>32.935904405905355</v>
      </c>
      <c r="C108" s="383">
        <f>IFERROR('b（手動）計算用'!I106,"")</f>
        <v>34.391518113005951</v>
      </c>
      <c r="D108" s="384">
        <f>IFERROR('b（手動）計算用'!F106,"")</f>
        <v>914.27422972484783</v>
      </c>
      <c r="E108" s="385">
        <f>IFERROR('b（手動）計算用'!J106,"")</f>
        <v>1.4193843040665988</v>
      </c>
      <c r="F108" s="383">
        <f>IFERROR('b（手動）計算用'!H106,"")</f>
        <v>1297.7064912840287</v>
      </c>
      <c r="G108" s="385">
        <f>IFERROR('b（手動）計算用'!K106,"")</f>
        <v>0.9</v>
      </c>
      <c r="H108" s="384">
        <f>IFERROR('b（手動）計算用'!L106,"")</f>
        <v>0</v>
      </c>
      <c r="I108" s="386">
        <f>IF(A108&gt;$G$3,"",IF(A108&lt;$F$3,"",IFERROR('b（手動）計算用'!M106,0)))</f>
        <v>0</v>
      </c>
      <c r="J108" s="383">
        <f>IFERROR('b（手動）計算用'!R106,"")</f>
        <v>1297.7064912840287</v>
      </c>
      <c r="K108" s="384">
        <f>IFERROR('b（手動）計算用'!Q106,"")</f>
        <v>914.27422972484783</v>
      </c>
      <c r="L108" s="385">
        <f>IFERROR('b（手動）計算用'!T106,"")</f>
        <v>0.90454862154566362</v>
      </c>
    </row>
    <row r="109" spans="1:12" ht="13.5" customHeight="1">
      <c r="A109" s="382">
        <v>112</v>
      </c>
      <c r="B109" s="383">
        <f>IFERROR('b（手動）計算用'!G107,"")</f>
        <v>32.985228227470728</v>
      </c>
      <c r="C109" s="383">
        <f>IFERROR('b（手動）計算用'!I107,"")</f>
        <v>34.411698766998484</v>
      </c>
      <c r="D109" s="384">
        <f>IFERROR('b（手動）計算用'!F107,"")</f>
        <v>914.27422972484783</v>
      </c>
      <c r="E109" s="385">
        <f>IFERROR('b（手動）計算用'!J107,"")</f>
        <v>1.4231037531471797</v>
      </c>
      <c r="F109" s="383">
        <f>IFERROR('b（手動）計算用'!H107,"")</f>
        <v>1301.1070877271777</v>
      </c>
      <c r="G109" s="385">
        <f>IFERROR('b（手動）計算用'!K107,"")</f>
        <v>0.9</v>
      </c>
      <c r="H109" s="384">
        <f>IFERROR('b（手動）計算用'!L107,"")</f>
        <v>0</v>
      </c>
      <c r="I109" s="386">
        <f>IF(A109&gt;$G$3,"",IF(A109&lt;$F$3,"",IFERROR('b（手動）計算用'!M107,0)))</f>
        <v>0</v>
      </c>
      <c r="J109" s="383">
        <f>IFERROR('b（手動）計算用'!R107,"")</f>
        <v>1301.1070877271777</v>
      </c>
      <c r="K109" s="384">
        <f>IFERROR('b（手動）計算用'!Q107,"")</f>
        <v>914.27422972484783</v>
      </c>
      <c r="L109" s="385">
        <f>IFERROR('b（手動）計算用'!T107,"")</f>
        <v>0.90514682463879703</v>
      </c>
    </row>
    <row r="110" spans="1:12" ht="13.5" customHeight="1">
      <c r="A110" s="382">
        <v>113</v>
      </c>
      <c r="B110" s="383">
        <f>IFERROR('b（手動）計算用'!G108,"")</f>
        <v>33.033242692786509</v>
      </c>
      <c r="C110" s="383">
        <f>IFERROR('b（手動）計算用'!I108,"")</f>
        <v>34.431308193953377</v>
      </c>
      <c r="D110" s="384">
        <f>IFERROR('b（手動）計算用'!F108,"")</f>
        <v>914.27422972484783</v>
      </c>
      <c r="E110" s="385">
        <f>IFERROR('b（手動）計算用'!J108,"")</f>
        <v>1.426727243597266</v>
      </c>
      <c r="F110" s="383">
        <f>IFERROR('b（手動）計算用'!H108,"")</f>
        <v>1304.4199516673457</v>
      </c>
      <c r="G110" s="385">
        <f>IFERROR('b（手動）計算用'!K108,"")</f>
        <v>0.9</v>
      </c>
      <c r="H110" s="384">
        <f>IFERROR('b（手動）計算用'!L108,"")</f>
        <v>0</v>
      </c>
      <c r="I110" s="386">
        <f>IF(A110&gt;$G$3,"",IF(A110&lt;$F$3,"",IFERROR('b（手動）計算用'!M108,0)))</f>
        <v>0</v>
      </c>
      <c r="J110" s="383">
        <f>IFERROR('b（手動）計算用'!R108,"")</f>
        <v>1304.4199516673457</v>
      </c>
      <c r="K110" s="384">
        <f>IFERROR('b（手動）計算用'!Q108,"")</f>
        <v>914.27422972484783</v>
      </c>
      <c r="L110" s="385">
        <f>IFERROR('b（手動）計算用'!T108,"")</f>
        <v>0.90572789103157558</v>
      </c>
    </row>
    <row r="111" spans="1:12" ht="13.5" customHeight="1">
      <c r="A111" s="382">
        <v>114</v>
      </c>
      <c r="B111" s="383">
        <f>IFERROR('b（手動）計算用'!G109,"")</f>
        <v>33.079982584096534</v>
      </c>
      <c r="C111" s="383">
        <f>IFERROR('b（手動）計算用'!I109,"")</f>
        <v>34.45036352237112</v>
      </c>
      <c r="D111" s="384">
        <f>IFERROR('b（手動）計算用'!F109,"")</f>
        <v>914.27422972484783</v>
      </c>
      <c r="E111" s="385">
        <f>IFERROR('b（手動）計算用'!J109,"")</f>
        <v>1.4302571746181301</v>
      </c>
      <c r="F111" s="383">
        <f>IFERROR('b（手動）計算用'!H109,"")</f>
        <v>1307.647276632428</v>
      </c>
      <c r="G111" s="385">
        <f>IFERROR('b（手動）計算用'!K109,"")</f>
        <v>0.9</v>
      </c>
      <c r="H111" s="384">
        <f>IFERROR('b（手動）計算用'!L109,"")</f>
        <v>0</v>
      </c>
      <c r="I111" s="386">
        <f>IF(A111&gt;$G$3,"",IF(A111&lt;$F$3,"",IFERROR('b（手動）計算用'!M109,0)))</f>
        <v>0</v>
      </c>
      <c r="J111" s="383">
        <f>IFERROR('b（手動）計算用'!R109,"")</f>
        <v>1307.647276632428</v>
      </c>
      <c r="K111" s="384">
        <f>IFERROR('b（手動）計算用'!Q109,"")</f>
        <v>914.27422972484783</v>
      </c>
      <c r="L111" s="385">
        <f>IFERROR('b（手動）計算用'!T109,"")</f>
        <v>0.90629234508274892</v>
      </c>
    </row>
    <row r="112" spans="1:12" ht="13.5" customHeight="1">
      <c r="A112" s="382">
        <v>115</v>
      </c>
      <c r="B112" s="383">
        <f>IFERROR('b（手動）計算用'!G110,"")</f>
        <v>33.1254817548188</v>
      </c>
      <c r="C112" s="383">
        <f>IFERROR('b（手動）計算用'!I110,"")</f>
        <v>34.468881313684811</v>
      </c>
      <c r="D112" s="384">
        <f>IFERROR('b（手動）計算用'!F110,"")</f>
        <v>914.27422972484783</v>
      </c>
      <c r="E112" s="385">
        <f>IFERROR('b（手動）計算用'!J110,"")</f>
        <v>1.4336958895182492</v>
      </c>
      <c r="F112" s="383">
        <f>IFERROR('b（手動）計算用'!H110,"")</f>
        <v>1310.7912050489779</v>
      </c>
      <c r="G112" s="385">
        <f>IFERROR('b（手動）計算用'!K110,"")</f>
        <v>0.9</v>
      </c>
      <c r="H112" s="384">
        <f>IFERROR('b（手動）計算用'!L110,"")</f>
        <v>0</v>
      </c>
      <c r="I112" s="386">
        <f>IF(A112&gt;$G$3,"",IF(A112&lt;$F$3,"",IFERROR('b（手動）計算用'!M110,0)))</f>
        <v>0</v>
      </c>
      <c r="J112" s="383">
        <f>IFERROR('b（手動）計算用'!R110,"")</f>
        <v>1310.7912050489779</v>
      </c>
      <c r="K112" s="384">
        <f>IFERROR('b（手動）計算用'!Q110,"")</f>
        <v>914.27422972484783</v>
      </c>
      <c r="L112" s="385">
        <f>IFERROR('b（手動）計算用'!T110,"")</f>
        <v>0.9068406932727533</v>
      </c>
    </row>
    <row r="113" spans="1:12" ht="13.5" customHeight="1">
      <c r="A113" s="382">
        <v>116</v>
      </c>
      <c r="B113" s="383">
        <f>IFERROR('b（手動）計算用'!G111,"")</f>
        <v>33.169773154852507</v>
      </c>
      <c r="C113" s="383">
        <f>IFERROR('b（手動）計算用'!I111,"")</f>
        <v>34.486877583995572</v>
      </c>
      <c r="D113" s="384">
        <f>IFERROR('b（手動）計算用'!F111,"")</f>
        <v>914.27422972484783</v>
      </c>
      <c r="E113" s="385">
        <f>IFERROR('b（手動）計算用'!J111,"")</f>
        <v>1.4370456767859237</v>
      </c>
      <c r="F113" s="383">
        <f>IFERROR('b（手動）計算用'!H111,"")</f>
        <v>1313.8538292228729</v>
      </c>
      <c r="G113" s="385">
        <f>IFERROR('b（手動）計算用'!K111,"")</f>
        <v>0.9</v>
      </c>
      <c r="H113" s="384">
        <f>IFERROR('b（手動）計算用'!L111,"")</f>
        <v>0</v>
      </c>
      <c r="I113" s="386">
        <f>IF(A113&gt;$G$3,"",IF(A113&lt;$F$3,"",IFERROR('b（手動）計算用'!M111,0)))</f>
        <v>0</v>
      </c>
      <c r="J113" s="383">
        <f>IFERROR('b（手動）計算用'!R111,"")</f>
        <v>1313.8538292228729</v>
      </c>
      <c r="K113" s="384">
        <f>IFERROR('b（手動）計算用'!Q111,"")</f>
        <v>914.27422972484783</v>
      </c>
      <c r="L113" s="385">
        <f>IFERROR('b（手動）計算用'!T111,"")</f>
        <v>0.90737342491249229</v>
      </c>
    </row>
    <row r="114" spans="1:12" ht="13.5" customHeight="1">
      <c r="A114" s="382">
        <v>117</v>
      </c>
      <c r="B114" s="383">
        <f>IFERROR('b（手動）計算用'!G112,"")</f>
        <v>33.212888855153139</v>
      </c>
      <c r="C114" s="383">
        <f>IFERROR('b（手動）計算用'!I112,"")</f>
        <v>34.504367824814459</v>
      </c>
      <c r="D114" s="384">
        <f>IFERROR('b（手動）計算用'!F112,"")</f>
        <v>914.27422972484783</v>
      </c>
      <c r="E114" s="385">
        <f>IFERROR('b（手動）計算用'!J112,"")</f>
        <v>1.4403087711555855</v>
      </c>
      <c r="F114" s="383">
        <f>IFERROR('b（手動）計算用'!H112,"")</f>
        <v>1316.8371923142151</v>
      </c>
      <c r="G114" s="385">
        <f>IFERROR('b（手動）計算用'!K112,"")</f>
        <v>0.9</v>
      </c>
      <c r="H114" s="384">
        <f>IFERROR('b（手動）計算用'!L112,"")</f>
        <v>0</v>
      </c>
      <c r="I114" s="386">
        <f>IF(A114&gt;$G$3,"",IF(A114&lt;$F$3,"",IFERROR('b（手動）計算用'!M112,0)))</f>
        <v>0</v>
      </c>
      <c r="J114" s="383">
        <f>IFERROR('b（手動）計算用'!R112,"")</f>
        <v>1316.8371923142151</v>
      </c>
      <c r="K114" s="384">
        <f>IFERROR('b（手動）計算用'!Q112,"")</f>
        <v>914.27422972484783</v>
      </c>
      <c r="L114" s="385">
        <f>IFERROR('b（手動）計算用'!T112,"")</f>
        <v>0.9078910128188058</v>
      </c>
    </row>
    <row r="115" spans="1:12" ht="13.5" customHeight="1">
      <c r="A115" s="382">
        <v>118</v>
      </c>
      <c r="B115" s="383">
        <f>IFERROR('b（手動）計算用'!G113,"")</f>
        <v>33.254860071599857</v>
      </c>
      <c r="C115" s="383">
        <f>IFERROR('b（手動）計算用'!I113,"")</f>
        <v>34.521367022865043</v>
      </c>
      <c r="D115" s="384">
        <f>IFERROR('b（手動）計算用'!F113,"")</f>
        <v>914.27422972484783</v>
      </c>
      <c r="E115" s="385">
        <f>IFERROR('b（手動）計算用'!J113,"")</f>
        <v>1.4434873546666951</v>
      </c>
      <c r="F115" s="383">
        <f>IFERROR('b（手動）計算用'!H113,"")</f>
        <v>1319.7432893054508</v>
      </c>
      <c r="G115" s="385">
        <f>IFERROR('b（手動）計算用'!K113,"")</f>
        <v>0.9</v>
      </c>
      <c r="H115" s="384">
        <f>IFERROR('b（手動）計算用'!L113,"")</f>
        <v>0</v>
      </c>
      <c r="I115" s="386">
        <f>IF(A115&gt;$G$3,"",IF(A115&lt;$F$3,"",IFERROR('b（手動）計算用'!M113,0)))</f>
        <v>0</v>
      </c>
      <c r="J115" s="383">
        <f>IFERROR('b（手動）計算用'!R113,"")</f>
        <v>1319.7432893054508</v>
      </c>
      <c r="K115" s="384">
        <f>IFERROR('b（手動）計算用'!Q113,"")</f>
        <v>914.27422972484783</v>
      </c>
      <c r="L115" s="385">
        <f>IFERROR('b（手動）計算用'!T113,"")</f>
        <v>0.90839391395846425</v>
      </c>
    </row>
    <row r="116" spans="1:12" ht="13.5" customHeight="1">
      <c r="A116" s="382">
        <v>119</v>
      </c>
      <c r="B116" s="383">
        <f>IFERROR('b（手動）計算用'!G114,"")</f>
        <v>33.295717188178457</v>
      </c>
      <c r="C116" s="383">
        <f>IFERROR('b（手動）計算用'!I114,"")</f>
        <v>34.537889678996962</v>
      </c>
      <c r="D116" s="384">
        <f>IFERROR('b（手動）計算用'!F114,"")</f>
        <v>914.27422972484783</v>
      </c>
      <c r="E116" s="385">
        <f>IFERROR('b（手動）計算用'!J114,"")</f>
        <v>1.4465835577142645</v>
      </c>
      <c r="F116" s="383">
        <f>IFERROR('b（手動）計算用'!H114,"")</f>
        <v>1322.5740679618391</v>
      </c>
      <c r="G116" s="385">
        <f>IFERROR('b（手動）計算用'!K114,"")</f>
        <v>0.9</v>
      </c>
      <c r="H116" s="384">
        <f>IFERROR('b（手動）計算用'!L114,"")</f>
        <v>0</v>
      </c>
      <c r="I116" s="386">
        <f>IF(A116&gt;$G$3,"",IF(A116&lt;$F$3,"",IFERROR('b（手動）計算用'!M114,0)))</f>
        <v>0</v>
      </c>
      <c r="J116" s="383">
        <f>IFERROR('b（手動）計算用'!R114,"")</f>
        <v>1322.5740679618391</v>
      </c>
      <c r="K116" s="384">
        <f>IFERROR('b（手動）計算用'!Q114,"")</f>
        <v>914.27422972484783</v>
      </c>
      <c r="L116" s="385">
        <f>IFERROR('b（手動）計算用'!T114,"")</f>
        <v>0.90888257006240225</v>
      </c>
    </row>
    <row r="117" spans="1:12" ht="13.5" customHeight="1">
      <c r="A117" s="382">
        <v>120</v>
      </c>
      <c r="B117" s="383">
        <f>IFERROR('b（手動）計算用'!G115,"")</f>
        <v>33.335489779502211</v>
      </c>
      <c r="C117" s="383">
        <f>IFERROR('b（手動）計算用'!I115,"")</f>
        <v>34.553949826257373</v>
      </c>
      <c r="D117" s="384">
        <f>IFERROR('b（手動）計算用'!F115,"")</f>
        <v>914.27422972484783</v>
      </c>
      <c r="E117" s="385">
        <f>IFERROR('b（手動）計算用'!J115,"")</f>
        <v>1.4495994600900701</v>
      </c>
      <c r="F117" s="383">
        <f>IFERROR('b（手動）計算用'!H115,"")</f>
        <v>1325.3314297834042</v>
      </c>
      <c r="G117" s="385">
        <f>IFERROR('b（手動）計算用'!K115,"")</f>
        <v>0.9</v>
      </c>
      <c r="H117" s="384">
        <f>IFERROR('b（手動）計算用'!L115,"")</f>
        <v>0</v>
      </c>
      <c r="I117" s="386">
        <f>IF(A117&gt;$G$3,"",IF(A117&lt;$F$3,"",IFERROR('b（手動）計算用'!M115,0)))</f>
        <v>0</v>
      </c>
      <c r="J117" s="383">
        <f>IFERROR('b（手動）計算用'!R115,"")</f>
        <v>1325.3314297834042</v>
      </c>
      <c r="K117" s="384">
        <f>IFERROR('b（手動）計算用'!Q115,"")</f>
        <v>914.27422972484783</v>
      </c>
      <c r="L117" s="385">
        <f>IFERROR('b（手動）計算用'!T115,"")</f>
        <v>0.90935740821179889</v>
      </c>
    </row>
  </sheetData>
  <sheetProtection password="F089" sheet="1" objects="1" scenarios="1"/>
  <mergeCells count="7">
    <mergeCell ref="A1:C2"/>
    <mergeCell ref="L5:L6"/>
    <mergeCell ref="E1:E2"/>
    <mergeCell ref="H1:H2"/>
    <mergeCell ref="I1:K1"/>
    <mergeCell ref="G5:G6"/>
    <mergeCell ref="I5:I6"/>
  </mergeCells>
  <phoneticPr fontId="1"/>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AA143"/>
  <sheetViews>
    <sheetView workbookViewId="0">
      <selection activeCell="Q38" sqref="Q38"/>
    </sheetView>
  </sheetViews>
  <sheetFormatPr defaultRowHeight="13.5"/>
  <cols>
    <col min="1" max="1" width="2.125" customWidth="1"/>
    <col min="2" max="2" width="10" style="20" customWidth="1"/>
    <col min="3" max="3" width="2.125" style="50" customWidth="1"/>
    <col min="4" max="9" width="10.625" style="20" customWidth="1"/>
    <col min="10" max="10" width="10.625" style="206" customWidth="1"/>
    <col min="11" max="15" width="10.625" style="20" customWidth="1"/>
    <col min="16" max="17" width="10.625" style="203" customWidth="1"/>
    <col min="18" max="18" width="10.625" style="20" customWidth="1"/>
    <col min="19" max="19" width="10.625" style="202" customWidth="1"/>
    <col min="20" max="24" width="10.625" style="20" customWidth="1"/>
    <col min="25" max="26" width="5.25" style="153" customWidth="1"/>
    <col min="27" max="27" width="9" customWidth="1"/>
    <col min="32" max="32" width="5.875" customWidth="1"/>
  </cols>
  <sheetData>
    <row r="1" spans="2:27">
      <c r="B1" s="52" t="s">
        <v>65</v>
      </c>
    </row>
    <row r="2" spans="2:27">
      <c r="B2" s="53" t="s">
        <v>66</v>
      </c>
      <c r="Q2" s="151" t="str">
        <f>B22</f>
        <v>Ry</v>
      </c>
      <c r="R2" s="20" t="str">
        <f>B14</f>
        <v>Ry</v>
      </c>
      <c r="Y2" s="152"/>
      <c r="Z2" s="152"/>
    </row>
    <row r="3" spans="2:27">
      <c r="D3" s="20" t="s">
        <v>67</v>
      </c>
      <c r="Q3" s="151">
        <f>B23</f>
        <v>0.65</v>
      </c>
      <c r="R3" s="206">
        <f>B15</f>
        <v>0.75</v>
      </c>
      <c r="AA3">
        <f>IF(B5=1,12,IF(B5=2,10,8))</f>
        <v>8</v>
      </c>
    </row>
    <row r="4" spans="2:27" ht="14.25" thickBot="1">
      <c r="B4" s="20" t="s">
        <v>0</v>
      </c>
      <c r="D4" s="48" t="s">
        <v>1</v>
      </c>
      <c r="E4" s="48" t="s">
        <v>1</v>
      </c>
      <c r="F4" s="48" t="s">
        <v>171</v>
      </c>
      <c r="G4" s="48" t="s">
        <v>2</v>
      </c>
      <c r="H4" s="48" t="s">
        <v>211</v>
      </c>
      <c r="I4" s="48" t="s">
        <v>3</v>
      </c>
      <c r="J4" s="48" t="s">
        <v>212</v>
      </c>
      <c r="K4" s="185" t="s">
        <v>141</v>
      </c>
      <c r="L4" s="48" t="s">
        <v>68</v>
      </c>
      <c r="M4" s="48" t="s">
        <v>79</v>
      </c>
      <c r="N4" s="48" t="s">
        <v>79</v>
      </c>
      <c r="O4" s="48" t="s">
        <v>112</v>
      </c>
      <c r="P4" s="204" t="s">
        <v>181</v>
      </c>
      <c r="Q4" s="205" t="s">
        <v>213</v>
      </c>
      <c r="R4" s="185" t="s">
        <v>213</v>
      </c>
      <c r="S4" s="185" t="s">
        <v>172</v>
      </c>
      <c r="T4" s="185" t="s">
        <v>115</v>
      </c>
      <c r="U4" s="185" t="s">
        <v>142</v>
      </c>
      <c r="V4" s="185" t="s">
        <v>143</v>
      </c>
      <c r="W4" s="48" t="s">
        <v>68</v>
      </c>
      <c r="X4" s="48" t="s">
        <v>68</v>
      </c>
      <c r="Y4" s="153" t="s">
        <v>1</v>
      </c>
      <c r="Z4" s="153" t="s">
        <v>167</v>
      </c>
      <c r="AA4">
        <f>IF(B23=0.9,4,IF(B23=0.85,5,IF(B23=0.8,6,IF(B23=0.75,7,IF(B23=0.7,8,IF(B23=0.65,9,IF(B23=0.6,10,IF(B23=0.55,11,IF(B23=0.5,12,IF(B23=0.45,13,IF(B23=0.4,14,NA())))))))))))</f>
        <v>9</v>
      </c>
    </row>
    <row r="5" spans="2:27" ht="14.25" thickBot="1">
      <c r="B5" s="51">
        <f>入力!C24</f>
        <v>1.7</v>
      </c>
      <c r="D5" s="48">
        <v>10</v>
      </c>
      <c r="E5" s="48">
        <f>IF(D5&lt;入力!$C$17,NA(),IF(D5&gt;入力!$H$48,NA(),D5))</f>
        <v>10</v>
      </c>
      <c r="F5" s="55">
        <f>IF(D5&gt;入力!C17,IF(B9*(1-B27)^(10-入力!C17)&gt;=P5,P5,B9*(1-B27)^(10-入力!C17)),IF(D5=入力!C17,入力!C18,NA()))</f>
        <v>2400</v>
      </c>
      <c r="G5" s="49">
        <f>'樹高計算 '!N3</f>
        <v>7.005377668918638</v>
      </c>
      <c r="H5" s="49">
        <f>直径材積計算!L118</f>
        <v>102.2800111677394</v>
      </c>
      <c r="I5" s="49">
        <f>直径材積計算!I118</f>
        <v>11.138932082557449</v>
      </c>
      <c r="J5" s="84">
        <f>H5/F5</f>
        <v>4.2616671319891421E-2</v>
      </c>
      <c r="K5" s="84">
        <f>ROUNDDOWN(直径材積計算!X118,2)</f>
        <v>0.53</v>
      </c>
      <c r="L5" s="55">
        <f t="shared" ref="L5:L36" si="0">IF(F5-R5&lt;0,0,ROUNDUP(F5-Q5,-1))</f>
        <v>0</v>
      </c>
      <c r="M5" s="62">
        <f t="shared" ref="M5:M36" si="1">L5/F5</f>
        <v>0</v>
      </c>
      <c r="N5" s="62">
        <f>SUMIF(M5,"&lt;&gt;#N/A")</f>
        <v>0</v>
      </c>
      <c r="O5" s="49">
        <f>直径材積計算!U118</f>
        <v>0</v>
      </c>
      <c r="P5" s="204">
        <f>直径材積計算!K2</f>
        <v>2414.4097777372367</v>
      </c>
      <c r="Q5" s="204">
        <f>VLOOKUP(G5,密度計算!A30:Q30,$AA$4,FALSE)</f>
        <v>3354.2526770256345</v>
      </c>
      <c r="R5" s="49">
        <f>VLOOKUP(G5,密度計算!A30:Q30,$AA$5,FALSE)</f>
        <v>4519.278476628404</v>
      </c>
      <c r="S5" s="55">
        <f>直径材積計算!N118</f>
        <v>2400</v>
      </c>
      <c r="T5" s="49">
        <f>直径材積計算!T118</f>
        <v>102.2800111677394</v>
      </c>
      <c r="U5" s="49">
        <f>直径材積計算!S118</f>
        <v>11.138932082557449</v>
      </c>
      <c r="V5" s="84">
        <f>直径材積計算!Y118</f>
        <v>0.53912917556448103</v>
      </c>
      <c r="W5" s="55" t="str">
        <f t="shared" ref="W5:W36" si="2">IF(N5=0,"",D5)</f>
        <v/>
      </c>
      <c r="X5" s="55" t="e">
        <f t="shared" ref="X5:X36" si="3">RANK(W5,$W$5:$W$115,1)</f>
        <v>#VALUE!</v>
      </c>
      <c r="Y5" s="153">
        <v>10</v>
      </c>
      <c r="Z5" s="191">
        <f>N5</f>
        <v>0</v>
      </c>
      <c r="AA5">
        <f>IF(B15=0.9,4,IF(B15=0.85,5,IF(B15=0.8,6,IF(B15=0.75,7,IF(B15=0.7,8,IF(B15=0.65,9,IF(B15=0.6,10,IF(B15=0.55,11,NA()))))))))</f>
        <v>7</v>
      </c>
    </row>
    <row r="6" spans="2:27">
      <c r="D6" s="48">
        <v>11</v>
      </c>
      <c r="E6" s="48">
        <f>IF(D6&lt;入力!$C$17,NA(),IF(D6&gt;入力!$H$48,NA(),D6))</f>
        <v>11</v>
      </c>
      <c r="F6" s="55">
        <f>IF(E6&gt;入力!$C$17,IF(S5&gt;=P5,P6,(F5-L5)*(1-$B$27)),IF(E6=入力!$C$17,入力!$C$18,NA()))</f>
        <v>2400</v>
      </c>
      <c r="G6" s="49">
        <f>'樹高計算 '!N4</f>
        <v>7.6866187767008665</v>
      </c>
      <c r="H6" s="49">
        <f>直径材積計算!L119</f>
        <v>124.22331651364004</v>
      </c>
      <c r="I6" s="49">
        <f>直径材積計算!I119</f>
        <v>11.817060145244328</v>
      </c>
      <c r="J6" s="84">
        <f t="shared" ref="J6:J69" si="4">H6/F6</f>
        <v>5.1759715214016684E-2</v>
      </c>
      <c r="K6" s="84">
        <f>ROUNDDOWN(直径材積計算!X119,2)</f>
        <v>0.56999999999999995</v>
      </c>
      <c r="L6" s="55">
        <f t="shared" si="0"/>
        <v>0</v>
      </c>
      <c r="M6" s="62">
        <f t="shared" si="1"/>
        <v>0</v>
      </c>
      <c r="N6" s="62">
        <f>SUMIF(M6,"&lt;&gt;#N/A")</f>
        <v>0</v>
      </c>
      <c r="O6" s="49">
        <f>直径材積計算!U119</f>
        <v>0</v>
      </c>
      <c r="P6" s="204">
        <f>直径材積計算!K3</f>
        <v>2396.9280289345602</v>
      </c>
      <c r="Q6" s="204">
        <f>VLOOKUP(G6,密度計算!A31:Q31,$AA$4,FALSE)</f>
        <v>2960.0479506661172</v>
      </c>
      <c r="R6" s="49">
        <f>VLOOKUP(G6,密度計算!A31:Q31,$AA$5,FALSE)</f>
        <v>3988.1554197925334</v>
      </c>
      <c r="S6" s="55">
        <f>直径材積計算!N119</f>
        <v>2400</v>
      </c>
      <c r="T6" s="49">
        <f>直径材積計算!T119</f>
        <v>124.22331651364004</v>
      </c>
      <c r="U6" s="49">
        <f>直径材積計算!S119</f>
        <v>11.817060145244328</v>
      </c>
      <c r="V6" s="84">
        <f>直径材積計算!Y119</f>
        <v>0.57999766699305544</v>
      </c>
      <c r="W6" s="55" t="str">
        <f t="shared" si="2"/>
        <v/>
      </c>
      <c r="X6" s="55" t="e">
        <f t="shared" si="3"/>
        <v>#VALUE!</v>
      </c>
      <c r="Y6" s="153">
        <v>11</v>
      </c>
      <c r="Z6" s="191">
        <f t="shared" ref="Z6:Z69" si="5">N6</f>
        <v>0</v>
      </c>
    </row>
    <row r="7" spans="2:27">
      <c r="D7" s="48">
        <v>12</v>
      </c>
      <c r="E7" s="48">
        <f>IF(D7&lt;入力!$C$17,NA(),IF(D7&gt;入力!$H$48,NA(),D7))</f>
        <v>12</v>
      </c>
      <c r="F7" s="55">
        <f>IF(E7&gt;入力!$C$17,IF(S6&gt;=P6,P7,(F6-L6)*(1-$B$27)),IF(E7=入力!$C$17,入力!$C$18,NA()))</f>
        <v>2378.6995149385252</v>
      </c>
      <c r="G7" s="49">
        <f>'樹高計算 '!N5</f>
        <v>8.3560214438217386</v>
      </c>
      <c r="H7" s="49">
        <f>直径材積計算!L120</f>
        <v>146.76866090703777</v>
      </c>
      <c r="I7" s="49">
        <f>直径材積計算!I120</f>
        <v>12.468685617754097</v>
      </c>
      <c r="J7" s="84">
        <f t="shared" si="4"/>
        <v>6.170121950473885E-2</v>
      </c>
      <c r="K7" s="84">
        <f>ROUNDDOWN(直径材積計算!X120,2)</f>
        <v>0.61</v>
      </c>
      <c r="L7" s="55">
        <f t="shared" si="0"/>
        <v>0</v>
      </c>
      <c r="M7" s="62">
        <f t="shared" si="1"/>
        <v>0</v>
      </c>
      <c r="N7" s="62">
        <f t="shared" ref="N7:N70" si="6">SUMIF(M7,"&lt;&gt;#N/A")</f>
        <v>0</v>
      </c>
      <c r="O7" s="49">
        <f>直径材積計算!U120</f>
        <v>0</v>
      </c>
      <c r="P7" s="204">
        <f>直径材積計算!K4</f>
        <v>2378.6995149385252</v>
      </c>
      <c r="Q7" s="204">
        <f>VLOOKUP(G7,密度計算!A32:Q32,$AA$4,FALSE)</f>
        <v>2645.1105251880576</v>
      </c>
      <c r="R7" s="49">
        <f>VLOOKUP(G7,密度計算!A32:Q32,$AA$5,FALSE)</f>
        <v>3563.8314151651148</v>
      </c>
      <c r="S7" s="55">
        <f>直径材積計算!N120</f>
        <v>2378.6995149385252</v>
      </c>
      <c r="T7" s="49">
        <f>直径材積計算!T120</f>
        <v>146.76866090703777</v>
      </c>
      <c r="U7" s="49">
        <f>直径材積計算!S120</f>
        <v>12.468685617754097</v>
      </c>
      <c r="V7" s="84">
        <f>直径材積計算!Y120</f>
        <v>0.61440882489371806</v>
      </c>
      <c r="W7" s="55" t="str">
        <f t="shared" si="2"/>
        <v/>
      </c>
      <c r="X7" s="55" t="e">
        <f t="shared" si="3"/>
        <v>#VALUE!</v>
      </c>
      <c r="Y7" s="153">
        <v>12</v>
      </c>
      <c r="Z7" s="191">
        <f t="shared" si="5"/>
        <v>0</v>
      </c>
    </row>
    <row r="8" spans="2:27" ht="14.25" thickBot="1">
      <c r="B8" s="20" t="s">
        <v>165</v>
      </c>
      <c r="D8" s="48">
        <v>13</v>
      </c>
      <c r="E8" s="48">
        <f>IF(D8&lt;入力!$C$17,NA(),IF(D8&gt;入力!$H$48,NA(),D8))</f>
        <v>13</v>
      </c>
      <c r="F8" s="55">
        <f>IF(E8&gt;入力!$C$17,IF(S7&gt;=P7,P8,(F7-L7)*(1-$B$27)),IF(E8=入力!$C$17,入力!$C$18,NA()))</f>
        <v>2359.9216915640836</v>
      </c>
      <c r="G8" s="49">
        <f>'樹高計算 '!N6</f>
        <v>9.0132564321920068</v>
      </c>
      <c r="H8" s="49">
        <f>直径材積計算!L121</f>
        <v>170.35142162858887</v>
      </c>
      <c r="I8" s="49">
        <f>直径材積計算!I121</f>
        <v>13.068959350969083</v>
      </c>
      <c r="J8" s="84">
        <f t="shared" si="4"/>
        <v>7.2185200991006268E-2</v>
      </c>
      <c r="K8" s="84">
        <f>ROUNDDOWN(直径材積計算!X121,2)</f>
        <v>0.64</v>
      </c>
      <c r="L8" s="55">
        <f t="shared" si="0"/>
        <v>0</v>
      </c>
      <c r="M8" s="62">
        <f t="shared" si="1"/>
        <v>0</v>
      </c>
      <c r="N8" s="62">
        <f t="shared" si="6"/>
        <v>0</v>
      </c>
      <c r="O8" s="49">
        <f>直径材積計算!U121</f>
        <v>0</v>
      </c>
      <c r="P8" s="204">
        <f>直径材積計算!K5</f>
        <v>2359.9216915640836</v>
      </c>
      <c r="Q8" s="204">
        <f>VLOOKUP(G8,密度計算!A33:Q33,$AA$4,FALSE)</f>
        <v>2388.6094225626803</v>
      </c>
      <c r="R8" s="49">
        <f>VLOOKUP(G8,密度計算!A33:Q33,$AA$5,FALSE)</f>
        <v>3218.240303241419</v>
      </c>
      <c r="S8" s="55">
        <f>直径材積計算!N121</f>
        <v>2359.9216915640836</v>
      </c>
      <c r="T8" s="49">
        <f>直径材積計算!T121</f>
        <v>170.35142162858887</v>
      </c>
      <c r="U8" s="49">
        <f>直径材積計算!S121</f>
        <v>13.068959350969083</v>
      </c>
      <c r="V8" s="84">
        <f>直径材積計算!Y121</f>
        <v>0.64593872659071028</v>
      </c>
      <c r="W8" s="55" t="str">
        <f t="shared" si="2"/>
        <v/>
      </c>
      <c r="X8" s="55" t="e">
        <f t="shared" si="3"/>
        <v>#VALUE!</v>
      </c>
      <c r="Y8" s="153">
        <v>13</v>
      </c>
      <c r="Z8" s="191">
        <f t="shared" si="5"/>
        <v>0</v>
      </c>
      <c r="AA8">
        <v>0.6</v>
      </c>
    </row>
    <row r="9" spans="2:27" ht="14.25" thickBot="1">
      <c r="B9" s="51">
        <f>入力!C18</f>
        <v>2400</v>
      </c>
      <c r="D9" s="48">
        <v>14</v>
      </c>
      <c r="E9" s="48">
        <f>IF(D9&lt;入力!$C$17,NA(),IF(D9&gt;入力!$H$48,NA(),D9))</f>
        <v>14</v>
      </c>
      <c r="F9" s="55">
        <f>IF(E9&gt;入力!$C$17,IF(S8&gt;=P8,P9,(F8-L8)*(1-$B$27)),IF(E9=入力!$C$17,入力!$C$18,NA()))</f>
        <v>2340.7662406907311</v>
      </c>
      <c r="G9" s="49">
        <f>'樹高計算 '!N7</f>
        <v>9.6580943635452208</v>
      </c>
      <c r="H9" s="49">
        <f>直径材積計算!L122</f>
        <v>194.70162037952747</v>
      </c>
      <c r="I9" s="49">
        <f>直径材積計算!I122</f>
        <v>13.628019851557575</v>
      </c>
      <c r="J9" s="84">
        <f t="shared" si="4"/>
        <v>8.3178583574442452E-2</v>
      </c>
      <c r="K9" s="84">
        <f>ROUNDDOWN(直径材積計算!X122,2)</f>
        <v>0.67</v>
      </c>
      <c r="L9" s="55">
        <f t="shared" si="0"/>
        <v>0</v>
      </c>
      <c r="M9" s="62">
        <f t="shared" si="1"/>
        <v>0</v>
      </c>
      <c r="N9" s="62">
        <f t="shared" si="6"/>
        <v>0</v>
      </c>
      <c r="O9" s="49">
        <f>直径材積計算!U122</f>
        <v>0</v>
      </c>
      <c r="P9" s="204">
        <f>直径材積計算!K6</f>
        <v>2340.7662406907311</v>
      </c>
      <c r="Q9" s="204">
        <f>VLOOKUP(G9,密度計算!A34:Q34,$AA$4,FALSE)</f>
        <v>2176.2872899068366</v>
      </c>
      <c r="R9" s="49">
        <f>VLOOKUP(G9,密度計算!A34:Q34,$AA$5,FALSE)</f>
        <v>2932.1727535915029</v>
      </c>
      <c r="S9" s="55">
        <f>直径材積計算!N122</f>
        <v>2340.7662406907311</v>
      </c>
      <c r="T9" s="49">
        <f>直径材積計算!T122</f>
        <v>194.70162037952747</v>
      </c>
      <c r="U9" s="49">
        <f>直径材積計算!S122</f>
        <v>13.628019851557575</v>
      </c>
      <c r="V9" s="84">
        <f>直径材積計算!Y122</f>
        <v>0.67451407995314949</v>
      </c>
      <c r="W9" s="55" t="str">
        <f t="shared" si="2"/>
        <v/>
      </c>
      <c r="X9" s="55" t="e">
        <f t="shared" si="3"/>
        <v>#VALUE!</v>
      </c>
      <c r="Y9" s="153">
        <v>14</v>
      </c>
      <c r="Z9" s="191">
        <f t="shared" si="5"/>
        <v>0</v>
      </c>
      <c r="AA9">
        <v>0.65</v>
      </c>
    </row>
    <row r="10" spans="2:27">
      <c r="B10" s="59" t="s">
        <v>74</v>
      </c>
      <c r="D10" s="48">
        <v>15</v>
      </c>
      <c r="E10" s="48">
        <f>IF(D10&lt;入力!$C$17,NA(),IF(D10&gt;入力!$H$48,NA(),D10))</f>
        <v>15</v>
      </c>
      <c r="F10" s="55">
        <f>IF(E10&gt;入力!$C$17,IF(S9&gt;=P9,P10,(F9-L9)*(1-$B$27)),IF(E10=入力!$C$17,入力!$C$18,NA()))</f>
        <v>2321.3807070057342</v>
      </c>
      <c r="G10" s="49">
        <f>'樹高計算 '!N8</f>
        <v>10.290382189294702</v>
      </c>
      <c r="H10" s="49">
        <f>直径材積計算!L123</f>
        <v>219.66196464449416</v>
      </c>
      <c r="I10" s="49">
        <f>直径材積計算!I123</f>
        <v>14.15072273584609</v>
      </c>
      <c r="J10" s="84">
        <f t="shared" si="4"/>
        <v>9.4625566578361145E-2</v>
      </c>
      <c r="K10" s="84">
        <f>ROUNDDOWN(直径材積計算!X123,2)</f>
        <v>0.7</v>
      </c>
      <c r="L10" s="55">
        <f t="shared" si="0"/>
        <v>0</v>
      </c>
      <c r="M10" s="62">
        <f t="shared" si="1"/>
        <v>0</v>
      </c>
      <c r="N10" s="62">
        <f t="shared" si="6"/>
        <v>0</v>
      </c>
      <c r="O10" s="49">
        <f>直径材積計算!U123</f>
        <v>0</v>
      </c>
      <c r="P10" s="204">
        <f>直径材積計算!K7</f>
        <v>2321.3807070057342</v>
      </c>
      <c r="Q10" s="204">
        <f>VLOOKUP(G10,密度計算!A35:Q35,$AA$4,FALSE)</f>
        <v>1998.08710492503</v>
      </c>
      <c r="R10" s="49">
        <f>VLOOKUP(G10,密度計算!A35:Q35,$AA$5,FALSE)</f>
        <v>2692.0786587025018</v>
      </c>
      <c r="S10" s="55">
        <f>直径材積計算!N123</f>
        <v>2321.3807070057342</v>
      </c>
      <c r="T10" s="49">
        <f>直径材積計算!T123</f>
        <v>219.66196464449416</v>
      </c>
      <c r="U10" s="49">
        <f>直径材積計算!S123</f>
        <v>14.15072273584609</v>
      </c>
      <c r="V10" s="84">
        <f>直径材積計算!Y123</f>
        <v>0.70045488300666847</v>
      </c>
      <c r="W10" s="55" t="str">
        <f t="shared" si="2"/>
        <v/>
      </c>
      <c r="X10" s="55" t="e">
        <f t="shared" si="3"/>
        <v>#VALUE!</v>
      </c>
      <c r="Y10" s="153">
        <v>15</v>
      </c>
      <c r="Z10" s="191">
        <f t="shared" si="5"/>
        <v>0</v>
      </c>
      <c r="AA10">
        <v>0.7</v>
      </c>
    </row>
    <row r="11" spans="2:27">
      <c r="D11" s="48">
        <v>16</v>
      </c>
      <c r="E11" s="48">
        <f>IF(D11&lt;入力!$C$17,NA(),IF(D11&gt;入力!$H$48,NA(),D11))</f>
        <v>16</v>
      </c>
      <c r="F11" s="55">
        <f>IF(E11&gt;入力!$C$17,IF(S10&gt;=P10,P11,(F10-L10)*(1-$B$27)),IF(E11=入力!$C$17,入力!$C$18,NA()))</f>
        <v>2301.8907004546645</v>
      </c>
      <c r="G11" s="49">
        <f>'樹高計算 '!N9</f>
        <v>10.910026199109787</v>
      </c>
      <c r="H11" s="49">
        <f>直径材積計算!L124</f>
        <v>245.09492476727775</v>
      </c>
      <c r="I11" s="49">
        <f>直径材積計算!I124</f>
        <v>14.641189504521389</v>
      </c>
      <c r="J11" s="84">
        <f t="shared" si="4"/>
        <v>0.10647548327071617</v>
      </c>
      <c r="K11" s="84">
        <f>ROUNDDOWN(直径材積計算!X124,2)</f>
        <v>0.72</v>
      </c>
      <c r="L11" s="55">
        <f t="shared" si="0"/>
        <v>0</v>
      </c>
      <c r="M11" s="62">
        <f t="shared" si="1"/>
        <v>0</v>
      </c>
      <c r="N11" s="62">
        <f t="shared" si="6"/>
        <v>0</v>
      </c>
      <c r="O11" s="49">
        <f>直径材積計算!U124</f>
        <v>0</v>
      </c>
      <c r="P11" s="204">
        <f>直径材積計算!K8</f>
        <v>2301.8907004546645</v>
      </c>
      <c r="Q11" s="204">
        <f>VLOOKUP(G11,密度計算!A36:Q36,$AA$4,FALSE)</f>
        <v>1846.7298963047383</v>
      </c>
      <c r="R11" s="49">
        <f>VLOOKUP(G11,密度計算!A36:Q36,$AA$5,FALSE)</f>
        <v>2488.1508568748845</v>
      </c>
      <c r="S11" s="55">
        <f>直径材積計算!N124</f>
        <v>2301.8907004546645</v>
      </c>
      <c r="T11" s="49">
        <f>直径材積計算!T124</f>
        <v>245.09492476727775</v>
      </c>
      <c r="U11" s="49">
        <f>直径材積計算!S124</f>
        <v>14.641189504521389</v>
      </c>
      <c r="V11" s="84">
        <f>直径材積計算!Y124</f>
        <v>0.72404923070116278</v>
      </c>
      <c r="W11" s="55" t="str">
        <f t="shared" si="2"/>
        <v/>
      </c>
      <c r="X11" s="55" t="e">
        <f t="shared" si="3"/>
        <v>#VALUE!</v>
      </c>
      <c r="Y11" s="153">
        <v>16</v>
      </c>
      <c r="Z11" s="191">
        <f t="shared" si="5"/>
        <v>0</v>
      </c>
      <c r="AA11">
        <v>0.75</v>
      </c>
    </row>
    <row r="12" spans="2:27">
      <c r="D12" s="48">
        <v>17</v>
      </c>
      <c r="E12" s="48">
        <f>IF(D12&lt;入力!$C$17,NA(),IF(D12&gt;入力!$H$48,NA(),D12))</f>
        <v>17</v>
      </c>
      <c r="F12" s="55">
        <f>IF(E12&gt;入力!$C$17,IF(S11&gt;=P11,P12,(F11-L11)*(1-$B$27)),IF(E12=入力!$C$17,入力!$C$18,NA()))</f>
        <v>2282.402289098367</v>
      </c>
      <c r="G12" s="49">
        <f>'樹高計算 '!N10</f>
        <v>11.516979531457144</v>
      </c>
      <c r="H12" s="49">
        <f>直径材積計算!L125</f>
        <v>270.88036921106317</v>
      </c>
      <c r="I12" s="49">
        <f>直径材積計算!I125</f>
        <v>15.102923750828976</v>
      </c>
      <c r="J12" s="84">
        <f t="shared" si="4"/>
        <v>0.11868213176305169</v>
      </c>
      <c r="K12" s="84">
        <f>ROUNDDOWN(直径材積計算!X125,2)</f>
        <v>0.74</v>
      </c>
      <c r="L12" s="55">
        <f t="shared" si="0"/>
        <v>0</v>
      </c>
      <c r="M12" s="62">
        <f t="shared" si="1"/>
        <v>0</v>
      </c>
      <c r="N12" s="62">
        <f t="shared" si="6"/>
        <v>0</v>
      </c>
      <c r="O12" s="49">
        <f>直径材積計算!U125</f>
        <v>0</v>
      </c>
      <c r="P12" s="204">
        <f>直径材積計算!K9</f>
        <v>2282.402289098367</v>
      </c>
      <c r="Q12" s="204">
        <f>VLOOKUP(G12,密度計算!A37:Q37,$AA$4,FALSE)</f>
        <v>1716.8291210649579</v>
      </c>
      <c r="R12" s="49">
        <f>VLOOKUP(G12,密度計算!A37:Q37,$AA$5,FALSE)</f>
        <v>2313.1319080463022</v>
      </c>
      <c r="S12" s="55">
        <f>直径材積計算!N125</f>
        <v>2282.402289098367</v>
      </c>
      <c r="T12" s="49">
        <f>直径材積計算!T125</f>
        <v>270.88036921106317</v>
      </c>
      <c r="U12" s="49">
        <f>直径材積計算!S125</f>
        <v>15.102923750828976</v>
      </c>
      <c r="V12" s="84">
        <f>直径材積計算!Y125</f>
        <v>0.74555378117272408</v>
      </c>
      <c r="W12" s="55" t="str">
        <f t="shared" si="2"/>
        <v/>
      </c>
      <c r="X12" s="55" t="e">
        <f t="shared" si="3"/>
        <v>#VALUE!</v>
      </c>
      <c r="Y12" s="153">
        <v>17</v>
      </c>
      <c r="Z12" s="191">
        <f t="shared" si="5"/>
        <v>0</v>
      </c>
      <c r="AA12">
        <v>0.8</v>
      </c>
    </row>
    <row r="13" spans="2:27">
      <c r="B13" s="20" t="s">
        <v>110</v>
      </c>
      <c r="D13" s="48">
        <v>18</v>
      </c>
      <c r="E13" s="48">
        <f>IF(D13&lt;入力!$C$17,NA(),IF(D13&gt;入力!$H$48,NA(),D13))</f>
        <v>18</v>
      </c>
      <c r="F13" s="55">
        <f>IF(E13&gt;入力!$C$17,IF(S12&gt;=P12,P13,(F12-L12)*(1-$B$27)),IF(E13=入力!$C$17,入力!$C$18,NA()))</f>
        <v>2263.0043655536742</v>
      </c>
      <c r="G13" s="49">
        <f>'樹高計算 '!N11</f>
        <v>12.111232869455735</v>
      </c>
      <c r="H13" s="49">
        <f>直径材積計算!L126</f>
        <v>296.91335942972614</v>
      </c>
      <c r="I13" s="49">
        <f>直径材積計算!I126</f>
        <v>15.538911291599399</v>
      </c>
      <c r="J13" s="84">
        <f t="shared" si="4"/>
        <v>0.13120317572038015</v>
      </c>
      <c r="K13" s="84">
        <f>ROUNDDOWN(直径材積計算!X126,2)</f>
        <v>0.76</v>
      </c>
      <c r="L13" s="55">
        <f t="shared" si="0"/>
        <v>660</v>
      </c>
      <c r="M13" s="62">
        <f t="shared" si="1"/>
        <v>0.29164769191177509</v>
      </c>
      <c r="N13" s="62">
        <f t="shared" si="6"/>
        <v>0.29164769191177509</v>
      </c>
      <c r="O13" s="49">
        <f>直径材積計算!U126</f>
        <v>44.805636812978037</v>
      </c>
      <c r="P13" s="204">
        <f>直径材積計算!K10</f>
        <v>2263.0043655536742</v>
      </c>
      <c r="Q13" s="204">
        <f>VLOOKUP(G13,密度計算!A38:Q38,$AA$4,FALSE)</f>
        <v>1604.3207580040644</v>
      </c>
      <c r="R13" s="49">
        <f>VLOOKUP(G13,密度計算!A38:Q38,$AA$5,FALSE)</f>
        <v>2161.5462427491188</v>
      </c>
      <c r="S13" s="55">
        <f>直径材積計算!N126</f>
        <v>1603.0043655536742</v>
      </c>
      <c r="T13" s="49">
        <f>直径材積計算!T126</f>
        <v>252.10772261674811</v>
      </c>
      <c r="U13" s="49">
        <f>直径材積計算!S126</f>
        <v>17.479768967166329</v>
      </c>
      <c r="V13" s="84">
        <f>直径材積計算!Y126</f>
        <v>0.64972403633225939</v>
      </c>
      <c r="W13" s="55">
        <f t="shared" si="2"/>
        <v>18</v>
      </c>
      <c r="X13" s="55">
        <f t="shared" si="3"/>
        <v>1</v>
      </c>
      <c r="Y13" s="153">
        <v>18</v>
      </c>
      <c r="Z13" s="191">
        <f t="shared" si="5"/>
        <v>0.29164769191177509</v>
      </c>
      <c r="AA13">
        <v>0.85</v>
      </c>
    </row>
    <row r="14" spans="2:27" ht="14.25" thickBot="1">
      <c r="B14" s="20" t="s">
        <v>32</v>
      </c>
      <c r="D14" s="48">
        <v>19</v>
      </c>
      <c r="E14" s="48">
        <f>IF(D14&lt;入力!$C$17,NA(),IF(D14&gt;入力!$H$48,NA(),D14))</f>
        <v>19</v>
      </c>
      <c r="F14" s="55">
        <f>IF(E14&gt;入力!$C$17,IF(S13&gt;=P13,P14,(F13-L13)*(1-$B$27)),IF(E14=入力!$C$17,入力!$C$18,NA()))</f>
        <v>1603.0043655536742</v>
      </c>
      <c r="G14" s="49">
        <f>'樹高計算 '!N12</f>
        <v>12.692807439777415</v>
      </c>
      <c r="H14" s="49">
        <f>直径材積計算!L127</f>
        <v>276.81653041320635</v>
      </c>
      <c r="I14" s="49">
        <f>直径材積計算!I127</f>
        <v>17.941601417194548</v>
      </c>
      <c r="J14" s="84">
        <f t="shared" si="4"/>
        <v>0.17268607395064361</v>
      </c>
      <c r="K14" s="84">
        <f>ROUNDDOWN(直径材積計算!X127,2)</f>
        <v>0.67</v>
      </c>
      <c r="L14" s="55">
        <f t="shared" si="0"/>
        <v>0</v>
      </c>
      <c r="M14" s="62">
        <f t="shared" si="1"/>
        <v>0</v>
      </c>
      <c r="N14" s="62">
        <f>SUMIF(M14,"&lt;&gt;#N/A")</f>
        <v>0</v>
      </c>
      <c r="O14" s="49">
        <f>直径材積計算!U127</f>
        <v>0</v>
      </c>
      <c r="P14" s="204">
        <f>直径材積計算!K11</f>
        <v>2243.7708697822568</v>
      </c>
      <c r="Q14" s="204">
        <f>VLOOKUP(G14,密度計算!A39:Q39,$AA$4,FALSE)</f>
        <v>1506.085929771318</v>
      </c>
      <c r="R14" s="49">
        <f>VLOOKUP(G14,密度計算!A39:Q39,$AA$5,FALSE)</f>
        <v>2029.191710269112</v>
      </c>
      <c r="S14" s="55">
        <f>直径材積計算!N127</f>
        <v>1603.0043655536742</v>
      </c>
      <c r="T14" s="49">
        <f>直径材積計算!T127</f>
        <v>276.81653041320635</v>
      </c>
      <c r="U14" s="49">
        <f>直径材積計算!S127</f>
        <v>17.941601417194548</v>
      </c>
      <c r="V14" s="84">
        <f>直径材積計算!Y127</f>
        <v>0.67098239774208335</v>
      </c>
      <c r="W14" s="55" t="str">
        <f t="shared" si="2"/>
        <v/>
      </c>
      <c r="X14" s="55" t="e">
        <f t="shared" si="3"/>
        <v>#VALUE!</v>
      </c>
      <c r="Y14" s="153">
        <v>19</v>
      </c>
      <c r="Z14" s="191">
        <f t="shared" si="5"/>
        <v>0</v>
      </c>
      <c r="AA14">
        <v>0.9</v>
      </c>
    </row>
    <row r="15" spans="2:27" ht="14.25" thickBot="1">
      <c r="B15" s="51">
        <f>入力!C32</f>
        <v>0.75</v>
      </c>
      <c r="D15" s="48">
        <v>20</v>
      </c>
      <c r="E15" s="48">
        <f>IF(D15&lt;入力!$C$17,NA(),IF(D15&gt;入力!$H$48,NA(),D15))</f>
        <v>20</v>
      </c>
      <c r="F15" s="55">
        <f>IF(E15&gt;入力!$C$17,IF(S14&gt;=P14,P15,(F14-L14)*(1-$B$27)),IF(E15=入力!$C$17,入力!$C$18,NA()))</f>
        <v>1603.0043655536742</v>
      </c>
      <c r="G15" s="49">
        <f>'樹高計算 '!N13</f>
        <v>13.261749704127018</v>
      </c>
      <c r="H15" s="49">
        <f>直径材積計算!L128</f>
        <v>301.82981555955007</v>
      </c>
      <c r="I15" s="49">
        <f>直径材積計算!I128</f>
        <v>18.373665098837925</v>
      </c>
      <c r="J15" s="84">
        <f t="shared" si="4"/>
        <v>0.18829007708615858</v>
      </c>
      <c r="K15" s="84">
        <f>ROUNDDOWN(直径材積計算!X128,2)</f>
        <v>0.69</v>
      </c>
      <c r="L15" s="55">
        <f t="shared" si="0"/>
        <v>0</v>
      </c>
      <c r="M15" s="62">
        <f t="shared" si="1"/>
        <v>0</v>
      </c>
      <c r="N15" s="62">
        <f t="shared" si="6"/>
        <v>0</v>
      </c>
      <c r="O15" s="49">
        <f>直径材積計算!U128</f>
        <v>0</v>
      </c>
      <c r="P15" s="204">
        <f>直径材積計算!K12</f>
        <v>2224.7628122291453</v>
      </c>
      <c r="Q15" s="204">
        <f>VLOOKUP(G15,密度計算!A40:Q40,$AA$4,FALSE)</f>
        <v>1419.6946654468668</v>
      </c>
      <c r="R15" s="49">
        <f>VLOOKUP(G15,密度計算!A40:Q40,$AA$5,FALSE)</f>
        <v>1912.794342800536</v>
      </c>
      <c r="S15" s="55">
        <f>直径材積計算!N128</f>
        <v>1603.0043655536742</v>
      </c>
      <c r="T15" s="49">
        <f>直径材積計算!T128</f>
        <v>301.82981555955007</v>
      </c>
      <c r="U15" s="49">
        <f>直径材積計算!S128</f>
        <v>18.373665098837925</v>
      </c>
      <c r="V15" s="84">
        <f>直径材積計算!Y128</f>
        <v>0.69086147246528273</v>
      </c>
      <c r="W15" s="55" t="str">
        <f t="shared" si="2"/>
        <v/>
      </c>
      <c r="X15" s="55" t="e">
        <f t="shared" si="3"/>
        <v>#VALUE!</v>
      </c>
      <c r="Y15" s="153">
        <v>20</v>
      </c>
      <c r="Z15" s="191">
        <f t="shared" si="5"/>
        <v>0</v>
      </c>
    </row>
    <row r="16" spans="2:27">
      <c r="D16" s="48">
        <v>21</v>
      </c>
      <c r="E16" s="48">
        <f>IF(D16&lt;入力!$C$17,NA(),IF(D16&gt;入力!$H$48,NA(),D16))</f>
        <v>21</v>
      </c>
      <c r="F16" s="55">
        <f>IF(E16&gt;入力!$C$17,IF(S15&gt;=P15,P16,(F15-L15)*(1-$B$27)),IF(E16=入力!$C$17,入力!$C$18,NA()))</f>
        <v>1603.0043655536742</v>
      </c>
      <c r="G16" s="49">
        <f>'樹高計算 '!N14</f>
        <v>13.818127308626075</v>
      </c>
      <c r="H16" s="49">
        <f>直径材積計算!L129</f>
        <v>327.06299130318308</v>
      </c>
      <c r="I16" s="49">
        <f>直径材積計算!I129</f>
        <v>18.778483779039526</v>
      </c>
      <c r="J16" s="84">
        <f t="shared" si="4"/>
        <v>0.20403125426936453</v>
      </c>
      <c r="K16" s="84">
        <f>ROUNDDOWN(直径材積計算!X129,2)</f>
        <v>0.7</v>
      </c>
      <c r="L16" s="55">
        <f t="shared" si="0"/>
        <v>0</v>
      </c>
      <c r="M16" s="62">
        <f t="shared" si="1"/>
        <v>0</v>
      </c>
      <c r="N16" s="62">
        <f t="shared" si="6"/>
        <v>0</v>
      </c>
      <c r="O16" s="49">
        <f>直径材積計算!U129</f>
        <v>0</v>
      </c>
      <c r="P16" s="204">
        <f>直径材積計算!K13</f>
        <v>2206.0300779597787</v>
      </c>
      <c r="Q16" s="204">
        <f>VLOOKUP(G16,密度計算!A41:Q41,$AA$4,FALSE)</f>
        <v>1343.228013877404</v>
      </c>
      <c r="R16" s="49">
        <f>VLOOKUP(G16,密度計算!A41:Q41,$AA$5,FALSE)</f>
        <v>1809.7686837663598</v>
      </c>
      <c r="S16" s="55">
        <f>直径材積計算!N129</f>
        <v>1603.0043655536742</v>
      </c>
      <c r="T16" s="49">
        <f>直径材積計算!T129</f>
        <v>327.06299130318308</v>
      </c>
      <c r="U16" s="49">
        <f>直径材積計算!S129</f>
        <v>18.778483779039526</v>
      </c>
      <c r="V16" s="84">
        <f>直径材積計算!Y129</f>
        <v>0.70946600985806274</v>
      </c>
      <c r="W16" s="55" t="str">
        <f t="shared" si="2"/>
        <v/>
      </c>
      <c r="X16" s="55" t="e">
        <f t="shared" si="3"/>
        <v>#VALUE!</v>
      </c>
      <c r="Y16" s="153">
        <v>21</v>
      </c>
      <c r="Z16" s="191">
        <f t="shared" si="5"/>
        <v>0</v>
      </c>
    </row>
    <row r="17" spans="2:27">
      <c r="B17" s="20" t="s">
        <v>77</v>
      </c>
      <c r="D17" s="48">
        <v>22</v>
      </c>
      <c r="E17" s="48">
        <f>IF(D17&lt;入力!$C$17,NA(),IF(D17&gt;入力!$H$48,NA(),D17))</f>
        <v>22</v>
      </c>
      <c r="F17" s="55">
        <f>IF(E17&gt;入力!$C$17,IF(S16&gt;=P16,P17,(F16-L16)*(1-$B$27)),IF(E17=入力!$C$17,入力!$C$18,NA()))</f>
        <v>1603.0043655536742</v>
      </c>
      <c r="G17" s="49">
        <f>'樹高計算 '!N15</f>
        <v>14.362025973710765</v>
      </c>
      <c r="H17" s="49">
        <f>直径材積計算!L130</f>
        <v>352.43973137050881</v>
      </c>
      <c r="I17" s="49">
        <f>直径材積計算!I130</f>
        <v>19.158318142658388</v>
      </c>
      <c r="J17" s="84">
        <f t="shared" si="4"/>
        <v>0.21986199098639192</v>
      </c>
      <c r="K17" s="84">
        <f>ROUNDDOWN(直径材積計算!X130,2)</f>
        <v>0.72</v>
      </c>
      <c r="L17" s="55">
        <f t="shared" si="0"/>
        <v>0</v>
      </c>
      <c r="M17" s="62">
        <f t="shared" si="1"/>
        <v>0</v>
      </c>
      <c r="N17" s="62">
        <f t="shared" si="6"/>
        <v>0</v>
      </c>
      <c r="O17" s="49">
        <f>直径材積計算!U130</f>
        <v>0</v>
      </c>
      <c r="P17" s="204">
        <f>直径材積計算!K14</f>
        <v>2187.6130135408257</v>
      </c>
      <c r="Q17" s="204">
        <f>VLOOKUP(G17,密度計算!A42:Q42,$AA$4,FALSE)</f>
        <v>1275.1520851232322</v>
      </c>
      <c r="R17" s="49">
        <f>VLOOKUP(G17,密度計算!A42:Q42,$AA$5,FALSE)</f>
        <v>1718.0480803358428</v>
      </c>
      <c r="S17" s="55">
        <f>直径材積計算!N130</f>
        <v>1603.0043655536742</v>
      </c>
      <c r="T17" s="49">
        <f>直径材積計算!T130</f>
        <v>352.43973137050881</v>
      </c>
      <c r="U17" s="49">
        <f>直径材積計算!S130</f>
        <v>19.158318142658388</v>
      </c>
      <c r="V17" s="84">
        <f>直径材積計算!Y130</f>
        <v>0.72689289741645191</v>
      </c>
      <c r="W17" s="55" t="str">
        <f t="shared" si="2"/>
        <v/>
      </c>
      <c r="X17" s="55" t="e">
        <f t="shared" si="3"/>
        <v>#VALUE!</v>
      </c>
      <c r="Y17" s="153">
        <v>22</v>
      </c>
      <c r="Z17" s="191">
        <f t="shared" si="5"/>
        <v>0</v>
      </c>
      <c r="AA17">
        <v>0</v>
      </c>
    </row>
    <row r="18" spans="2:27" ht="14.25" thickBot="1">
      <c r="B18" s="20" t="s">
        <v>78</v>
      </c>
      <c r="D18" s="48">
        <v>23</v>
      </c>
      <c r="E18" s="48">
        <f>IF(D18&lt;入力!$C$17,NA(),IF(D18&gt;入力!$H$48,NA(),D18))</f>
        <v>23</v>
      </c>
      <c r="F18" s="55">
        <f>IF(E18&gt;入力!$C$17,IF(S17&gt;=P17,P18,(F17-L17)*(1-$B$27)),IF(E18=入力!$C$17,入力!$C$18,NA()))</f>
        <v>1603.0043655536742</v>
      </c>
      <c r="G18" s="49">
        <f>'樹高計算 '!N16</f>
        <v>14.893547087821741</v>
      </c>
      <c r="H18" s="49">
        <f>直径材積計算!L131</f>
        <v>377.89129155446136</v>
      </c>
      <c r="I18" s="49">
        <f>直径材積計算!I131</f>
        <v>19.515196765110471</v>
      </c>
      <c r="J18" s="84">
        <f t="shared" si="4"/>
        <v>0.23573940263346602</v>
      </c>
      <c r="K18" s="84">
        <f>ROUNDDOWN(直径材積計算!X131,2)</f>
        <v>0.74</v>
      </c>
      <c r="L18" s="55">
        <f t="shared" si="0"/>
        <v>0</v>
      </c>
      <c r="M18" s="62">
        <f t="shared" si="1"/>
        <v>0</v>
      </c>
      <c r="N18" s="62">
        <f t="shared" si="6"/>
        <v>0</v>
      </c>
      <c r="O18" s="49">
        <f>直径材積計算!U131</f>
        <v>0</v>
      </c>
      <c r="P18" s="204">
        <f>直径材積計算!K15</f>
        <v>2169.5438098124546</v>
      </c>
      <c r="Q18" s="204">
        <f>VLOOKUP(G18,密度計算!A43:Q43,$AA$4,FALSE)</f>
        <v>1214.2272668110936</v>
      </c>
      <c r="R18" s="49">
        <f>VLOOKUP(G18,密度計算!A43:Q43,$AA$5,FALSE)</f>
        <v>1635.9623680767722</v>
      </c>
      <c r="S18" s="55">
        <f>直径材積計算!N131</f>
        <v>1603.0043655536742</v>
      </c>
      <c r="T18" s="49">
        <f>直径材積計算!T131</f>
        <v>377.89129155446136</v>
      </c>
      <c r="U18" s="49">
        <f>直径材積計算!S131</f>
        <v>19.515196765110471</v>
      </c>
      <c r="V18" s="84">
        <f>直径材積計算!Y131</f>
        <v>0.74323142698437206</v>
      </c>
      <c r="W18" s="55" t="str">
        <f t="shared" si="2"/>
        <v/>
      </c>
      <c r="X18" s="55" t="e">
        <f t="shared" si="3"/>
        <v>#VALUE!</v>
      </c>
      <c r="Y18" s="153">
        <v>23</v>
      </c>
      <c r="Z18" s="191">
        <f t="shared" si="5"/>
        <v>0</v>
      </c>
      <c r="AA18">
        <v>0.05</v>
      </c>
    </row>
    <row r="19" spans="2:27" ht="14.25" thickBot="1">
      <c r="B19" s="194">
        <f>B15-B23</f>
        <v>9.9999999999999978E-2</v>
      </c>
      <c r="D19" s="48">
        <v>24</v>
      </c>
      <c r="E19" s="48">
        <f>IF(D19&lt;入力!$C$17,NA(),IF(D19&gt;入力!$H$48,NA(),D19))</f>
        <v>24</v>
      </c>
      <c r="F19" s="55">
        <f>IF(E19&gt;入力!$C$17,IF(S18&gt;=P18,P19,(F18-L18)*(1-$B$27)),IF(E19=入力!$C$17,入力!$C$18,NA()))</f>
        <v>1603.0043655536742</v>
      </c>
      <c r="G19" s="49">
        <f>'樹高計算 '!N17</f>
        <v>15.412805825357026</v>
      </c>
      <c r="H19" s="49">
        <f>直径材積計算!L132</f>
        <v>403.35587238814719</v>
      </c>
      <c r="I19" s="49">
        <f>直径材積計算!I132</f>
        <v>19.850943424101803</v>
      </c>
      <c r="J19" s="84">
        <f t="shared" si="4"/>
        <v>0.25162493693448484</v>
      </c>
      <c r="K19" s="84">
        <f>ROUNDDOWN(直径材積計算!X132,2)</f>
        <v>0.75</v>
      </c>
      <c r="L19" s="55">
        <f t="shared" si="0"/>
        <v>450</v>
      </c>
      <c r="M19" s="62">
        <f t="shared" si="1"/>
        <v>0.28072287865826928</v>
      </c>
      <c r="N19" s="62">
        <f t="shared" si="6"/>
        <v>0.28072287865826928</v>
      </c>
      <c r="O19" s="49">
        <f>直径材積計算!U132</f>
        <v>58.722450370860599</v>
      </c>
      <c r="P19" s="204">
        <f>直径材積計算!K16</f>
        <v>2151.8476991637572</v>
      </c>
      <c r="Q19" s="204">
        <f>VLOOKUP(G19,密度計算!A44:Q44,$AA$4,FALSE)</f>
        <v>1159.4417386780631</v>
      </c>
      <c r="R19" s="49">
        <f>VLOOKUP(G19,密度計算!A44:Q44,$AA$5,FALSE)</f>
        <v>1562.1482932403244</v>
      </c>
      <c r="S19" s="55">
        <f>直径材積計算!N132</f>
        <v>1153.0043655536742</v>
      </c>
      <c r="T19" s="49">
        <f>直径材積計算!T132</f>
        <v>344.63342201728659</v>
      </c>
      <c r="U19" s="49">
        <f>直径材積計算!S132</f>
        <v>22.144444427887429</v>
      </c>
      <c r="V19" s="84">
        <f>直径材積計算!Y132</f>
        <v>0.64812840840829267</v>
      </c>
      <c r="W19" s="55">
        <f t="shared" si="2"/>
        <v>24</v>
      </c>
      <c r="X19" s="55">
        <f t="shared" si="3"/>
        <v>2</v>
      </c>
      <c r="Y19" s="153">
        <v>24</v>
      </c>
      <c r="Z19" s="191">
        <f t="shared" si="5"/>
        <v>0.28072287865826928</v>
      </c>
      <c r="AA19">
        <v>0.1</v>
      </c>
    </row>
    <row r="20" spans="2:27">
      <c r="D20" s="48">
        <v>25</v>
      </c>
      <c r="E20" s="48">
        <f>IF(D20&lt;入力!$C$17,NA(),IF(D20&gt;入力!$H$48,NA(),D20))</f>
        <v>25</v>
      </c>
      <c r="F20" s="55">
        <f>IF(E20&gt;入力!$C$17,IF(S19&gt;=P19,P20,(F19-L19)*(1-$B$27)),IF(E20=入力!$C$17,入力!$C$18,NA()))</f>
        <v>1153.0043655536742</v>
      </c>
      <c r="G20" s="49">
        <f>'樹高計算 '!N18</f>
        <v>15.919929651162615</v>
      </c>
      <c r="H20" s="49">
        <f>直径材積計算!L133</f>
        <v>367.6659335211275</v>
      </c>
      <c r="I20" s="49">
        <f>直径材積計算!I133</f>
        <v>22.542107957952606</v>
      </c>
      <c r="J20" s="84">
        <f t="shared" si="4"/>
        <v>0.31887644531560277</v>
      </c>
      <c r="K20" s="84">
        <f>ROUNDDOWN(直径材積計算!X133,2)</f>
        <v>0.66</v>
      </c>
      <c r="L20" s="55">
        <f t="shared" si="0"/>
        <v>0</v>
      </c>
      <c r="M20" s="62">
        <f t="shared" si="1"/>
        <v>0</v>
      </c>
      <c r="N20" s="62">
        <f t="shared" si="6"/>
        <v>0</v>
      </c>
      <c r="O20" s="49">
        <f>直径材積計算!U133</f>
        <v>0</v>
      </c>
      <c r="P20" s="204">
        <f>直径材積計算!K17</f>
        <v>2134.5439878349262</v>
      </c>
      <c r="Q20" s="204">
        <f>VLOOKUP(G20,密度計算!A45:Q45,$AA$4,FALSE)</f>
        <v>1109.9620717072773</v>
      </c>
      <c r="R20" s="49">
        <f>VLOOKUP(G20,密度計算!A45:Q45,$AA$5,FALSE)</f>
        <v>1495.482953594505</v>
      </c>
      <c r="S20" s="55">
        <f>直径材積計算!N133</f>
        <v>1153.0043655536742</v>
      </c>
      <c r="T20" s="49">
        <f>直径材積計算!T133</f>
        <v>367.6659335211275</v>
      </c>
      <c r="U20" s="49">
        <f>直径材積計算!S133</f>
        <v>22.542107957952606</v>
      </c>
      <c r="V20" s="84">
        <f>直径材積計算!Y133</f>
        <v>0.66279727394700227</v>
      </c>
      <c r="W20" s="55" t="str">
        <f t="shared" si="2"/>
        <v/>
      </c>
      <c r="X20" s="55" t="e">
        <f t="shared" si="3"/>
        <v>#VALUE!</v>
      </c>
      <c r="Y20" s="153">
        <v>25</v>
      </c>
      <c r="Z20" s="191">
        <f t="shared" si="5"/>
        <v>0</v>
      </c>
      <c r="AA20">
        <v>0.15</v>
      </c>
    </row>
    <row r="21" spans="2:27">
      <c r="B21" s="56" t="s">
        <v>70</v>
      </c>
      <c r="D21" s="48">
        <v>26</v>
      </c>
      <c r="E21" s="48">
        <f>IF(D21&lt;入力!$C$17,NA(),IF(D21&gt;入力!$H$48,NA(),D21))</f>
        <v>26</v>
      </c>
      <c r="F21" s="55">
        <f>IF(E21&gt;入力!$C$17,IF(S20&gt;=P20,P21,(F20-L20)*(1-$B$27)),IF(E21=入力!$C$17,入力!$C$18,NA()))</f>
        <v>1153.0043655536742</v>
      </c>
      <c r="G21" s="49">
        <f>'樹高計算 '!N19</f>
        <v>16.415057105306442</v>
      </c>
      <c r="H21" s="49">
        <f>直径材積計算!L134</f>
        <v>390.70071763183762</v>
      </c>
      <c r="I21" s="49">
        <f>直径材積計算!I134</f>
        <v>22.918586201051557</v>
      </c>
      <c r="J21" s="84">
        <f t="shared" si="4"/>
        <v>0.33885449986498761</v>
      </c>
      <c r="K21" s="84">
        <f>ROUNDDOWN(直径材積計算!X134,2)</f>
        <v>0.67</v>
      </c>
      <c r="L21" s="55">
        <f t="shared" si="0"/>
        <v>0</v>
      </c>
      <c r="M21" s="62">
        <f t="shared" si="1"/>
        <v>0</v>
      </c>
      <c r="N21" s="62">
        <f t="shared" si="6"/>
        <v>0</v>
      </c>
      <c r="O21" s="49">
        <f>直径材積計算!U134</f>
        <v>0</v>
      </c>
      <c r="P21" s="204">
        <f>直径材積計算!K18</f>
        <v>2117.6469436323105</v>
      </c>
      <c r="Q21" s="204">
        <f>VLOOKUP(G21,密度計算!A46:Q46,$AA$4,FALSE)</f>
        <v>1065.0960344987109</v>
      </c>
      <c r="R21" s="49">
        <f>VLOOKUP(G21,密度計算!A46:Q46,$AA$5,FALSE)</f>
        <v>1435.0336864068936</v>
      </c>
      <c r="S21" s="55">
        <f>直径材積計算!N134</f>
        <v>1153.0043655536742</v>
      </c>
      <c r="T21" s="49">
        <f>直径材積計算!T134</f>
        <v>390.70071763183762</v>
      </c>
      <c r="U21" s="49">
        <f>直径材積計算!S134</f>
        <v>22.918586201051557</v>
      </c>
      <c r="V21" s="84">
        <f>直径材積計算!Y134</f>
        <v>0.67668440657090057</v>
      </c>
      <c r="W21" s="55" t="str">
        <f t="shared" si="2"/>
        <v/>
      </c>
      <c r="X21" s="55" t="e">
        <f t="shared" si="3"/>
        <v>#VALUE!</v>
      </c>
      <c r="Y21" s="153">
        <v>26</v>
      </c>
      <c r="Z21" s="191">
        <f t="shared" si="5"/>
        <v>0</v>
      </c>
      <c r="AA21">
        <v>0.2</v>
      </c>
    </row>
    <row r="22" spans="2:27" ht="14.25" thickBot="1">
      <c r="B22" s="20" t="s">
        <v>32</v>
      </c>
      <c r="D22" s="48">
        <v>27</v>
      </c>
      <c r="E22" s="48">
        <f>IF(D22&lt;入力!$C$17,NA(),IF(D22&gt;入力!$H$48,NA(),D22))</f>
        <v>27</v>
      </c>
      <c r="F22" s="55">
        <f>IF(E22&gt;入力!$C$17,IF(S21&gt;=P21,P22,(F21-L21)*(1-$B$27)),IF(E22=入力!$C$17,入力!$C$18,NA()))</f>
        <v>1153.0043655536742</v>
      </c>
      <c r="G22" s="49">
        <f>'樹高計算 '!N20</f>
        <v>16.898336786226629</v>
      </c>
      <c r="H22" s="49">
        <f>直径材積計算!L135</f>
        <v>413.69120120572887</v>
      </c>
      <c r="I22" s="49">
        <f>直径材積計算!I135</f>
        <v>23.27532449258662</v>
      </c>
      <c r="J22" s="84">
        <f t="shared" si="4"/>
        <v>0.35879413258515619</v>
      </c>
      <c r="K22" s="84">
        <f>ROUNDDOWN(直径材積計算!X135,2)</f>
        <v>0.68</v>
      </c>
      <c r="L22" s="55">
        <f t="shared" si="0"/>
        <v>0</v>
      </c>
      <c r="M22" s="62">
        <f t="shared" si="1"/>
        <v>0</v>
      </c>
      <c r="N22" s="62">
        <f t="shared" si="6"/>
        <v>0</v>
      </c>
      <c r="O22" s="49">
        <f>直径材積計算!U135</f>
        <v>0</v>
      </c>
      <c r="P22" s="204">
        <f>直径材積計算!K19</f>
        <v>2101.166558191509</v>
      </c>
      <c r="Q22" s="204">
        <f>VLOOKUP(G22,密度計算!A47:Q47,$AA$4,FALSE)</f>
        <v>1024.2642507418698</v>
      </c>
      <c r="R22" s="49">
        <f>VLOOKUP(G22,密度計算!A47:Q47,$AA$5,FALSE)</f>
        <v>1380.0198817646422</v>
      </c>
      <c r="S22" s="55">
        <f>直径材積計算!N135</f>
        <v>1153.0043655536742</v>
      </c>
      <c r="T22" s="49">
        <f>直径材積計算!T135</f>
        <v>413.69120120572887</v>
      </c>
      <c r="U22" s="49">
        <f>直径材積計算!S135</f>
        <v>23.27532449258662</v>
      </c>
      <c r="V22" s="84">
        <f>直径材積計算!Y135</f>
        <v>0.68983846963764806</v>
      </c>
      <c r="W22" s="55" t="str">
        <f t="shared" si="2"/>
        <v/>
      </c>
      <c r="X22" s="55" t="e">
        <f t="shared" si="3"/>
        <v>#VALUE!</v>
      </c>
      <c r="Y22" s="153">
        <v>27</v>
      </c>
      <c r="Z22" s="191">
        <f t="shared" si="5"/>
        <v>0</v>
      </c>
    </row>
    <row r="23" spans="2:27" ht="14.25" thickBot="1">
      <c r="B23" s="51">
        <f>IF(入力!C32-入力!C33&gt;0,入力!C33,NA())</f>
        <v>0.65</v>
      </c>
      <c r="D23" s="48">
        <v>28</v>
      </c>
      <c r="E23" s="48">
        <f>IF(D23&lt;入力!$C$17,NA(),IF(D23&gt;入力!$H$48,NA(),D23))</f>
        <v>28</v>
      </c>
      <c r="F23" s="55">
        <f>IF(E23&gt;入力!$C$17,IF(S22&gt;=P22,P23,(F22-L22)*(1-$B$27)),IF(E23=入力!$C$17,入力!$C$18,NA()))</f>
        <v>1153.0043655536742</v>
      </c>
      <c r="G23" s="49">
        <f>'樹高計算 '!N21</f>
        <v>17.369926469612402</v>
      </c>
      <c r="H23" s="49">
        <f>直径材積計算!L136</f>
        <v>436.59534263957698</v>
      </c>
      <c r="I23" s="49">
        <f>直径材積計算!I136</f>
        <v>23.613646495244048</v>
      </c>
      <c r="J23" s="84">
        <f t="shared" si="4"/>
        <v>0.3786588808186544</v>
      </c>
      <c r="K23" s="84">
        <f>ROUNDDOWN(直径材積計算!X136,2)</f>
        <v>0.7</v>
      </c>
      <c r="L23" s="55">
        <f t="shared" si="0"/>
        <v>0</v>
      </c>
      <c r="M23" s="62">
        <f t="shared" si="1"/>
        <v>0</v>
      </c>
      <c r="N23" s="62">
        <f t="shared" si="6"/>
        <v>0</v>
      </c>
      <c r="O23" s="49">
        <f>直径材積計算!U136</f>
        <v>0</v>
      </c>
      <c r="P23" s="204">
        <f>直径材積計算!K20</f>
        <v>2085.1092011342921</v>
      </c>
      <c r="Q23" s="204">
        <f>VLOOKUP(G23,密度計算!A48:Q48,$AA$4,FALSE)</f>
        <v>986.97836108535398</v>
      </c>
      <c r="R23" s="49">
        <f>VLOOKUP(G23,密度計算!A48:Q48,$AA$5,FALSE)</f>
        <v>1329.783559450351</v>
      </c>
      <c r="S23" s="55">
        <f>直径材積計算!N136</f>
        <v>1153.0043655536742</v>
      </c>
      <c r="T23" s="49">
        <f>直径材積計算!T136</f>
        <v>436.59534263957698</v>
      </c>
      <c r="U23" s="49">
        <f>直径材積計算!S136</f>
        <v>23.613646495244048</v>
      </c>
      <c r="V23" s="84">
        <f>直径材積計算!Y136</f>
        <v>0.70230500203125479</v>
      </c>
      <c r="W23" s="55" t="str">
        <f t="shared" si="2"/>
        <v/>
      </c>
      <c r="X23" s="55" t="e">
        <f t="shared" si="3"/>
        <v>#VALUE!</v>
      </c>
      <c r="Y23" s="153">
        <v>28</v>
      </c>
      <c r="Z23" s="191">
        <f t="shared" si="5"/>
        <v>0</v>
      </c>
      <c r="AA23">
        <v>1</v>
      </c>
    </row>
    <row r="24" spans="2:27" ht="13.5" customHeight="1">
      <c r="B24" s="60"/>
      <c r="D24" s="48">
        <v>29</v>
      </c>
      <c r="E24" s="48">
        <f>IF(D24&lt;入力!$C$17,NA(),IF(D24&gt;入力!$H$48,NA(),D24))</f>
        <v>29</v>
      </c>
      <c r="F24" s="55">
        <f>IF(E24&gt;入力!$C$17,IF(S23&gt;=P23,P24,(F23-L23)*(1-$B$27)),IF(E24=入力!$C$17,入力!$C$18,NA()))</f>
        <v>1153.0043655536742</v>
      </c>
      <c r="G24" s="49">
        <f>'樹高計算 '!N22</f>
        <v>17.829992315883583</v>
      </c>
      <c r="H24" s="49">
        <f>直径材積計算!L137</f>
        <v>459.37531823393408</v>
      </c>
      <c r="I24" s="49">
        <f>直径材積計算!I137</f>
        <v>23.934766339490974</v>
      </c>
      <c r="J24" s="84">
        <f t="shared" si="4"/>
        <v>0.39841594009346309</v>
      </c>
      <c r="K24" s="84">
        <f>ROUNDDOWN(直径材積計算!X137,2)</f>
        <v>0.71</v>
      </c>
      <c r="L24" s="55">
        <f t="shared" si="0"/>
        <v>0</v>
      </c>
      <c r="M24" s="62">
        <f t="shared" si="1"/>
        <v>0</v>
      </c>
      <c r="N24" s="62">
        <f t="shared" si="6"/>
        <v>0</v>
      </c>
      <c r="O24" s="49">
        <f>直径材積計算!U137</f>
        <v>0</v>
      </c>
      <c r="P24" s="204">
        <f>直径材積計算!K21</f>
        <v>2069.4781814832136</v>
      </c>
      <c r="Q24" s="204">
        <f>VLOOKUP(G24,密度計算!A49:Q49,$AA$4,FALSE)</f>
        <v>952.8240242018079</v>
      </c>
      <c r="R24" s="49">
        <f>VLOOKUP(G24,密度計算!A49:Q49,$AA$5,FALSE)</f>
        <v>1283.7664658012832</v>
      </c>
      <c r="S24" s="55">
        <f>直径材積計算!N137</f>
        <v>1153.0043655536742</v>
      </c>
      <c r="T24" s="49">
        <f>直径材積計算!T137</f>
        <v>459.37531823393408</v>
      </c>
      <c r="U24" s="49">
        <f>直径材積計算!S137</f>
        <v>23.934766339490974</v>
      </c>
      <c r="V24" s="84">
        <f>直径材積計算!Y137</f>
        <v>0.71412656214812165</v>
      </c>
      <c r="W24" s="55" t="str">
        <f t="shared" si="2"/>
        <v/>
      </c>
      <c r="X24" s="55" t="e">
        <f t="shared" si="3"/>
        <v>#VALUE!</v>
      </c>
      <c r="Y24" s="153">
        <v>29</v>
      </c>
      <c r="Z24" s="191">
        <f t="shared" si="5"/>
        <v>0</v>
      </c>
      <c r="AA24">
        <v>2</v>
      </c>
    </row>
    <row r="25" spans="2:27">
      <c r="D25" s="48">
        <v>30</v>
      </c>
      <c r="E25" s="48">
        <f>IF(D25&lt;入力!$C$17,NA(),IF(D25&gt;入力!$H$48,NA(),D25))</f>
        <v>30</v>
      </c>
      <c r="F25" s="55">
        <f>IF(E25&gt;入力!$C$17,IF(S24&gt;=P24,P25,(F24-L24)*(1-$B$27)),IF(E25=入力!$C$17,入力!$C$18,NA()))</f>
        <v>1153.0043655536742</v>
      </c>
      <c r="G25" s="49">
        <f>'樹高計算 '!N23</f>
        <v>18.278708131736447</v>
      </c>
      <c r="H25" s="49">
        <f>直径材積計算!L138</f>
        <v>481.99722450965783</v>
      </c>
      <c r="I25" s="49">
        <f>直径材積計算!I138</f>
        <v>24.239799428023662</v>
      </c>
      <c r="J25" s="84">
        <f t="shared" si="4"/>
        <v>0.41803590594230067</v>
      </c>
      <c r="K25" s="84">
        <f>ROUNDDOWN(直径材積計算!X138,2)</f>
        <v>0.72</v>
      </c>
      <c r="L25" s="55">
        <f t="shared" si="0"/>
        <v>0</v>
      </c>
      <c r="M25" s="62">
        <f t="shared" si="1"/>
        <v>0</v>
      </c>
      <c r="N25" s="62">
        <f t="shared" si="6"/>
        <v>0</v>
      </c>
      <c r="O25" s="49">
        <f>直径材積計算!U138</f>
        <v>0</v>
      </c>
      <c r="P25" s="204">
        <f>直径材積計算!K22</f>
        <v>2054.2742297248478</v>
      </c>
      <c r="Q25" s="204">
        <f>VLOOKUP(G25,密度計算!A50:Q50,$AA$4,FALSE)</f>
        <v>921.44755932500243</v>
      </c>
      <c r="R25" s="49">
        <f>VLOOKUP(G25,密度計算!A50:Q50,$AA$5,FALSE)</f>
        <v>1241.4920768258605</v>
      </c>
      <c r="S25" s="55">
        <f>直径材積計算!N138</f>
        <v>1153.0043655536742</v>
      </c>
      <c r="T25" s="49">
        <f>直径材積計算!T138</f>
        <v>481.99722450965783</v>
      </c>
      <c r="U25" s="49">
        <f>直径材積計算!S138</f>
        <v>24.239799428023662</v>
      </c>
      <c r="V25" s="84">
        <f>直径材積計算!Y138</f>
        <v>0.72534288605949482</v>
      </c>
      <c r="W25" s="55" t="str">
        <f t="shared" si="2"/>
        <v/>
      </c>
      <c r="X25" s="55" t="e">
        <f t="shared" si="3"/>
        <v>#VALUE!</v>
      </c>
      <c r="Y25" s="153">
        <v>30</v>
      </c>
      <c r="Z25" s="191">
        <f t="shared" si="5"/>
        <v>0</v>
      </c>
      <c r="AA25">
        <v>3</v>
      </c>
    </row>
    <row r="26" spans="2:27" ht="14.25" thickBot="1">
      <c r="B26" s="57" t="s">
        <v>71</v>
      </c>
      <c r="D26" s="48">
        <v>31</v>
      </c>
      <c r="E26" s="48">
        <f>IF(D26&lt;入力!$C$17,NA(),IF(D26&gt;入力!$H$48,NA(),D26))</f>
        <v>31</v>
      </c>
      <c r="F26" s="55">
        <f>IF(E26&gt;入力!$C$17,IF(S25&gt;=P25,P26,(F25-L25)*(1-$B$27)),IF(E26=入力!$C$17,入力!$C$18,NA()))</f>
        <v>1153.0043655536742</v>
      </c>
      <c r="G26" s="49">
        <f>'樹高計算 '!N24</f>
        <v>18.716254661483859</v>
      </c>
      <c r="H26" s="49">
        <f>直径材積計算!L139</f>
        <v>504.43079637349933</v>
      </c>
      <c r="I26" s="49">
        <f>直径材積計算!I139</f>
        <v>24.529772045089821</v>
      </c>
      <c r="J26" s="84">
        <f t="shared" si="4"/>
        <v>0.43749252946780559</v>
      </c>
      <c r="K26" s="84">
        <f>ROUNDDOWN(直径材積計算!X139,2)</f>
        <v>0.73</v>
      </c>
      <c r="L26" s="55">
        <f t="shared" si="0"/>
        <v>0</v>
      </c>
      <c r="M26" s="62">
        <f t="shared" si="1"/>
        <v>0</v>
      </c>
      <c r="N26" s="62">
        <f t="shared" si="6"/>
        <v>0</v>
      </c>
      <c r="O26" s="49">
        <f>直径材積計算!U139</f>
        <v>0</v>
      </c>
      <c r="P26" s="204">
        <f>直径材積計算!K23</f>
        <v>2039.4959120598244</v>
      </c>
      <c r="Q26" s="204">
        <f>VLOOKUP(G26,密度計算!A51:Q51,$AA$4,FALSE)</f>
        <v>892.54535793603009</v>
      </c>
      <c r="R26" s="49">
        <f>VLOOKUP(G26,密度計算!A51:Q51,$AA$5,FALSE)</f>
        <v>1202.5513322722372</v>
      </c>
      <c r="S26" s="55">
        <f>直径材積計算!N139</f>
        <v>1153.0043655536742</v>
      </c>
      <c r="T26" s="49">
        <f>直径材積計算!T139</f>
        <v>504.43079637349933</v>
      </c>
      <c r="U26" s="49">
        <f>直径材積計算!S139</f>
        <v>24.529772045089821</v>
      </c>
      <c r="V26" s="84">
        <f>直径材積計算!Y139</f>
        <v>0.73599105178174107</v>
      </c>
      <c r="W26" s="55" t="str">
        <f t="shared" si="2"/>
        <v/>
      </c>
      <c r="X26" s="55" t="e">
        <f t="shared" si="3"/>
        <v>#VALUE!</v>
      </c>
      <c r="Y26" s="153">
        <v>31</v>
      </c>
      <c r="Z26" s="191">
        <f t="shared" si="5"/>
        <v>0</v>
      </c>
    </row>
    <row r="27" spans="2:27" ht="14.25" thickBot="1">
      <c r="B27" s="58">
        <f>入力!C26</f>
        <v>0</v>
      </c>
      <c r="D27" s="48">
        <v>32</v>
      </c>
      <c r="E27" s="48">
        <f>IF(D27&lt;入力!$C$17,NA(),IF(D27&gt;入力!$H$48,NA(),D27))</f>
        <v>32</v>
      </c>
      <c r="F27" s="55">
        <f>IF(E27&gt;入力!$C$17,IF(S26&gt;=P26,P27,(F26-L26)*(1-$B$27)),IF(E27=入力!$C$17,入力!$C$18,NA()))</f>
        <v>1153.0043655536742</v>
      </c>
      <c r="G27" s="49">
        <f>'樹高計算 '!N25</f>
        <v>19.142818892220774</v>
      </c>
      <c r="H27" s="49">
        <f>直径材積計算!L140</f>
        <v>526.64914064941865</v>
      </c>
      <c r="I27" s="49">
        <f>直径材積計算!I140</f>
        <v>24.805629901955808</v>
      </c>
      <c r="J27" s="84">
        <f t="shared" si="4"/>
        <v>0.45676248623440469</v>
      </c>
      <c r="K27" s="84">
        <f>ROUNDDOWN(直径材積計算!X140,2)</f>
        <v>0.74</v>
      </c>
      <c r="L27" s="55">
        <f t="shared" si="0"/>
        <v>0</v>
      </c>
      <c r="M27" s="62">
        <f t="shared" si="1"/>
        <v>0</v>
      </c>
      <c r="N27" s="62">
        <f t="shared" si="6"/>
        <v>0</v>
      </c>
      <c r="O27" s="49">
        <f>直径材積計算!U140</f>
        <v>0</v>
      </c>
      <c r="P27" s="204">
        <f>直径材積計算!K24</f>
        <v>2025.1399867002756</v>
      </c>
      <c r="Q27" s="204">
        <f>VLOOKUP(G27,密度計算!A52:Q52,$AA$4,FALSE)</f>
        <v>865.8554218701812</v>
      </c>
      <c r="R27" s="49">
        <f>VLOOKUP(G27,密度計算!A52:Q52,$AA$5,FALSE)</f>
        <v>1166.5912346829473</v>
      </c>
      <c r="S27" s="55">
        <f>直径材積計算!N140</f>
        <v>1153.0043655536742</v>
      </c>
      <c r="T27" s="49">
        <f>直径材積計算!T140</f>
        <v>526.64914064941865</v>
      </c>
      <c r="U27" s="49">
        <f>直径材積計算!S140</f>
        <v>24.805629901955808</v>
      </c>
      <c r="V27" s="84">
        <f>直径材積計算!Y140</f>
        <v>0.74610564407515667</v>
      </c>
      <c r="W27" s="55" t="str">
        <f t="shared" si="2"/>
        <v/>
      </c>
      <c r="X27" s="55" t="e">
        <f t="shared" si="3"/>
        <v>#VALUE!</v>
      </c>
      <c r="Y27" s="153">
        <v>32</v>
      </c>
      <c r="Z27" s="191">
        <f t="shared" si="5"/>
        <v>0</v>
      </c>
      <c r="AA27">
        <v>1000</v>
      </c>
    </row>
    <row r="28" spans="2:27">
      <c r="B28" s="20" t="s">
        <v>73</v>
      </c>
      <c r="D28" s="48">
        <v>33</v>
      </c>
      <c r="E28" s="48">
        <f>IF(D28&lt;入力!$C$17,NA(),IF(D28&gt;入力!$H$48,NA(),D28))</f>
        <v>33</v>
      </c>
      <c r="F28" s="55">
        <f>IF(E28&gt;入力!$C$17,IF(S27&gt;=P27,P28,(F27-L27)*(1-$B$27)),IF(E28=入力!$C$17,入力!$C$18,NA()))</f>
        <v>1153.0043655536742</v>
      </c>
      <c r="G28" s="49">
        <f>'樹高計算 '!N26</f>
        <v>19.558593363470184</v>
      </c>
      <c r="H28" s="49">
        <f>直径材積計算!L141</f>
        <v>548.62848431566863</v>
      </c>
      <c r="I28" s="49">
        <f>直径材積計算!I141</f>
        <v>25.068245738886567</v>
      </c>
      <c r="J28" s="84">
        <f t="shared" si="4"/>
        <v>0.47582515791448587</v>
      </c>
      <c r="K28" s="84">
        <f>ROUNDDOWN(直径材積計算!X141,2)</f>
        <v>0.75</v>
      </c>
      <c r="L28" s="55">
        <f t="shared" si="0"/>
        <v>320</v>
      </c>
      <c r="M28" s="62">
        <f t="shared" si="1"/>
        <v>0.27753580954252116</v>
      </c>
      <c r="N28" s="62">
        <f t="shared" si="6"/>
        <v>0.27753580954252116</v>
      </c>
      <c r="O28" s="49">
        <f>直径材積計算!U141</f>
        <v>79.12341152330589</v>
      </c>
      <c r="P28" s="204">
        <f>直径材積計算!K25</f>
        <v>2011.2017105939603</v>
      </c>
      <c r="Q28" s="204">
        <f>VLOOKUP(G28,密度計算!A53:Q53,$AA$4,FALSE)</f>
        <v>841.15054916308077</v>
      </c>
      <c r="R28" s="49">
        <f>VLOOKUP(G28,密度計算!A53:Q53,$AA$5,FALSE)</f>
        <v>1133.3056684947594</v>
      </c>
      <c r="S28" s="55">
        <f>直径材積計算!N141</f>
        <v>833.00436555367423</v>
      </c>
      <c r="T28" s="49">
        <f>直径材積計算!T141</f>
        <v>469.50507279236274</v>
      </c>
      <c r="U28" s="49">
        <f>直径材積計算!S141</f>
        <v>27.850318187127655</v>
      </c>
      <c r="V28" s="84">
        <f>直径材積計算!Y141</f>
        <v>0.64672884258404628</v>
      </c>
      <c r="W28" s="55">
        <f t="shared" si="2"/>
        <v>33</v>
      </c>
      <c r="X28" s="55">
        <f t="shared" si="3"/>
        <v>3</v>
      </c>
      <c r="Y28" s="153">
        <v>33</v>
      </c>
      <c r="Z28" s="191">
        <f t="shared" si="5"/>
        <v>0.27753580954252116</v>
      </c>
      <c r="AA28">
        <v>1500</v>
      </c>
    </row>
    <row r="29" spans="2:27">
      <c r="D29" s="48">
        <v>34</v>
      </c>
      <c r="E29" s="48">
        <f>IF(D29&lt;入力!$C$17,NA(),IF(D29&gt;入力!$H$48,NA(),D29))</f>
        <v>34</v>
      </c>
      <c r="F29" s="55">
        <f>IF(E29&gt;入力!$C$17,IF(S28&gt;=P28,P29,(F28-L28)*(1-$B$27)),IF(E29=入力!$C$17,入力!$C$18,NA()))</f>
        <v>833.00436555367423</v>
      </c>
      <c r="G29" s="49">
        <f>'樹高計算 '!N27</f>
        <v>19.963775477128916</v>
      </c>
      <c r="H29" s="49">
        <f>直径材積計算!L142</f>
        <v>489.18412756758204</v>
      </c>
      <c r="I29" s="49">
        <f>直径材積計算!I142</f>
        <v>28.162666852121546</v>
      </c>
      <c r="J29" s="84">
        <f t="shared" si="4"/>
        <v>0.58725277777198115</v>
      </c>
      <c r="K29" s="84">
        <f>ROUNDDOWN(直径材積計算!X142,2)</f>
        <v>0.65</v>
      </c>
      <c r="L29" s="55">
        <f t="shared" si="0"/>
        <v>0</v>
      </c>
      <c r="M29" s="62">
        <f t="shared" si="1"/>
        <v>0</v>
      </c>
      <c r="N29" s="62">
        <f t="shared" si="6"/>
        <v>0</v>
      </c>
      <c r="O29" s="49">
        <f>直径材積計算!U142</f>
        <v>0</v>
      </c>
      <c r="P29" s="204">
        <f>直径材積計算!K26</f>
        <v>1997.6751036696705</v>
      </c>
      <c r="Q29" s="204">
        <f>VLOOKUP(G29,密度計算!A54:Q54,$AA$4,FALSE)</f>
        <v>818.2328075473331</v>
      </c>
      <c r="R29" s="49">
        <f>VLOOKUP(G29,密度計算!A54:Q54,$AA$5,FALSE)</f>
        <v>1102.4279540260864</v>
      </c>
      <c r="S29" s="55">
        <f>直径材積計算!N142</f>
        <v>833.00436555367423</v>
      </c>
      <c r="T29" s="49">
        <f>直径材積計算!T142</f>
        <v>489.18412756758204</v>
      </c>
      <c r="U29" s="49">
        <f>直径材積計算!S142</f>
        <v>28.162666852121546</v>
      </c>
      <c r="V29" s="84">
        <f>直径材積計算!Y142</f>
        <v>0.65601680991984401</v>
      </c>
      <c r="W29" s="55" t="str">
        <f t="shared" si="2"/>
        <v/>
      </c>
      <c r="X29" s="55" t="e">
        <f t="shared" si="3"/>
        <v>#VALUE!</v>
      </c>
      <c r="Y29" s="153">
        <v>34</v>
      </c>
      <c r="Z29" s="191">
        <f t="shared" si="5"/>
        <v>0</v>
      </c>
      <c r="AA29">
        <v>2000</v>
      </c>
    </row>
    <row r="30" spans="2:27">
      <c r="B30" s="20" t="s">
        <v>75</v>
      </c>
      <c r="D30" s="48">
        <v>35</v>
      </c>
      <c r="E30" s="48">
        <f>IF(D30&lt;入力!$C$17,NA(),IF(D30&gt;入力!$H$48,NA(),D30))</f>
        <v>35</v>
      </c>
      <c r="F30" s="55">
        <f>IF(E30&gt;入力!$C$17,IF(S29&gt;=P29,P30,(F29-L29)*(1-$B$27)),IF(E30=入力!$C$17,入力!$C$18,NA()))</f>
        <v>833.00436555367423</v>
      </c>
      <c r="G30" s="49">
        <f>'樹高計算 '!N28</f>
        <v>20.358566807421841</v>
      </c>
      <c r="H30" s="49">
        <f>直径材積計算!L143</f>
        <v>508.65706167433763</v>
      </c>
      <c r="I30" s="49">
        <f>直径材積計算!I143</f>
        <v>28.461133192967722</v>
      </c>
      <c r="J30" s="84">
        <f t="shared" si="4"/>
        <v>0.61062952693680994</v>
      </c>
      <c r="K30" s="84">
        <f>ROUNDDOWN(直径材積計算!X143,2)</f>
        <v>0.66</v>
      </c>
      <c r="L30" s="55">
        <f t="shared" si="0"/>
        <v>0</v>
      </c>
      <c r="M30" s="62">
        <f t="shared" si="1"/>
        <v>0</v>
      </c>
      <c r="N30" s="62">
        <f t="shared" si="6"/>
        <v>0</v>
      </c>
      <c r="O30" s="49">
        <f>直径材積計算!U143</f>
        <v>0</v>
      </c>
      <c r="P30" s="204">
        <f>直径材積計算!K27</f>
        <v>1984.5531765996327</v>
      </c>
      <c r="Q30" s="204">
        <f>VLOOKUP(G30,密度計算!A55:Q55,$AA$4,FALSE)</f>
        <v>796.92902218455936</v>
      </c>
      <c r="R30" s="49">
        <f>VLOOKUP(G30,密度計算!A55:Q55,$AA$5,FALSE)</f>
        <v>1073.7247679721161</v>
      </c>
      <c r="S30" s="55">
        <f>直径材積計算!N143</f>
        <v>833.00436555367423</v>
      </c>
      <c r="T30" s="49">
        <f>直径材積計算!T143</f>
        <v>508.65706167433763</v>
      </c>
      <c r="U30" s="49">
        <f>直径材積計算!S143</f>
        <v>28.461133192967722</v>
      </c>
      <c r="V30" s="84">
        <f>直径材積計算!Y143</f>
        <v>0.66489317764128286</v>
      </c>
      <c r="W30" s="55" t="str">
        <f t="shared" si="2"/>
        <v/>
      </c>
      <c r="X30" s="55" t="e">
        <f t="shared" si="3"/>
        <v>#VALUE!</v>
      </c>
      <c r="Y30" s="153">
        <v>35</v>
      </c>
      <c r="Z30" s="191">
        <f t="shared" si="5"/>
        <v>0</v>
      </c>
      <c r="AA30">
        <v>2500</v>
      </c>
    </row>
    <row r="31" spans="2:27">
      <c r="B31" s="61">
        <f>L118</f>
        <v>5</v>
      </c>
      <c r="D31" s="48">
        <v>36</v>
      </c>
      <c r="E31" s="48">
        <f>IF(D31&lt;入力!$C$17,NA(),IF(D31&gt;入力!$H$48,NA(),D31))</f>
        <v>36</v>
      </c>
      <c r="F31" s="55">
        <f>IF(E31&gt;入力!$C$17,IF(S30&gt;=P30,P31,(F30-L30)*(1-$B$27)),IF(E31=入力!$C$17,入力!$C$18,NA()))</f>
        <v>833.00436555367423</v>
      </c>
      <c r="G31" s="49">
        <f>'樹高計算 '!N29</f>
        <v>20.743172413359066</v>
      </c>
      <c r="H31" s="49">
        <f>直径材積計算!L144</f>
        <v>527.90598854521966</v>
      </c>
      <c r="I31" s="49">
        <f>直径材積計算!I144</f>
        <v>28.746482419560312</v>
      </c>
      <c r="J31" s="84">
        <f t="shared" si="4"/>
        <v>0.633737361261409</v>
      </c>
      <c r="K31" s="84">
        <f>ROUNDDOWN(直径材積計算!X144,2)</f>
        <v>0.67</v>
      </c>
      <c r="L31" s="55">
        <f t="shared" si="0"/>
        <v>0</v>
      </c>
      <c r="M31" s="62">
        <f t="shared" si="1"/>
        <v>0</v>
      </c>
      <c r="N31" s="62">
        <f t="shared" si="6"/>
        <v>0</v>
      </c>
      <c r="O31" s="49">
        <f>直径材積計算!U144</f>
        <v>0</v>
      </c>
      <c r="P31" s="204">
        <f>直径材積計算!K28</f>
        <v>1971.8281271444434</v>
      </c>
      <c r="Q31" s="204">
        <f>VLOOKUP(G31,密度計算!A56:Q56,$AA$4,FALSE)</f>
        <v>777.08706821247915</v>
      </c>
      <c r="R31" s="49">
        <f>VLOOKUP(G31,密度計算!A56:Q56,$AA$5,FALSE)</f>
        <v>1046.9911482497673</v>
      </c>
      <c r="S31" s="55">
        <f>直径材積計算!N144</f>
        <v>833.00436555367423</v>
      </c>
      <c r="T31" s="49">
        <f>直径材積計算!T144</f>
        <v>527.90598854521966</v>
      </c>
      <c r="U31" s="49">
        <f>直径材積計算!S144</f>
        <v>28.746482419560312</v>
      </c>
      <c r="V31" s="84">
        <f>直径材積計算!Y144</f>
        <v>0.67337926932328995</v>
      </c>
      <c r="W31" s="55" t="str">
        <f t="shared" si="2"/>
        <v/>
      </c>
      <c r="X31" s="55" t="e">
        <f t="shared" si="3"/>
        <v>#VALUE!</v>
      </c>
      <c r="Y31" s="153">
        <v>36</v>
      </c>
      <c r="Z31" s="191">
        <f t="shared" si="5"/>
        <v>0</v>
      </c>
      <c r="AA31">
        <v>3000</v>
      </c>
    </row>
    <row r="32" spans="2:27">
      <c r="B32" s="20" t="s">
        <v>76</v>
      </c>
      <c r="D32" s="48">
        <v>37</v>
      </c>
      <c r="E32" s="48">
        <f>IF(D32&lt;入力!$C$17,NA(),IF(D32&gt;入力!$H$48,NA(),D32))</f>
        <v>37</v>
      </c>
      <c r="F32" s="55">
        <f>IF(E32&gt;入力!$C$17,IF(S31&gt;=P31,P32,(F31-L31)*(1-$B$27)),IF(E32=入力!$C$17,入力!$C$18,NA()))</f>
        <v>833.00436555367423</v>
      </c>
      <c r="G32" s="49">
        <f>'樹高計算 '!N30</f>
        <v>21.117800158034136</v>
      </c>
      <c r="H32" s="49">
        <f>直径材積計算!L145</f>
        <v>546.9152111539986</v>
      </c>
      <c r="I32" s="49">
        <f>直径材積計算!I145</f>
        <v>29.019429308496541</v>
      </c>
      <c r="J32" s="84">
        <f t="shared" si="4"/>
        <v>0.65655743687547141</v>
      </c>
      <c r="K32" s="84">
        <f>ROUNDDOWN(直径材積計算!X145,2)</f>
        <v>0.68</v>
      </c>
      <c r="L32" s="55">
        <f t="shared" si="0"/>
        <v>0</v>
      </c>
      <c r="M32" s="62">
        <f t="shared" si="1"/>
        <v>0</v>
      </c>
      <c r="N32" s="62">
        <f t="shared" si="6"/>
        <v>0</v>
      </c>
      <c r="O32" s="49">
        <f>直径材積計算!U145</f>
        <v>0</v>
      </c>
      <c r="P32" s="204">
        <f>直径材積計算!K29</f>
        <v>1959.4915093649884</v>
      </c>
      <c r="Q32" s="204">
        <f>VLOOKUP(G32,密度計算!A57:Q57,$AA$4,FALSE)</f>
        <v>758.57280638985321</v>
      </c>
      <c r="R32" s="49">
        <f>VLOOKUP(G32,密度計算!A57:Q57,$AA$5,FALSE)</f>
        <v>1022.0463653063871</v>
      </c>
      <c r="S32" s="55">
        <f>直径材積計算!N145</f>
        <v>833.00436555367423</v>
      </c>
      <c r="T32" s="49">
        <f>直径材積計算!T145</f>
        <v>546.9152111539986</v>
      </c>
      <c r="U32" s="49">
        <f>直径材積計算!S145</f>
        <v>29.019429308496541</v>
      </c>
      <c r="V32" s="84">
        <f>直径材積計算!Y145</f>
        <v>0.68149524309255083</v>
      </c>
      <c r="W32" s="55" t="str">
        <f t="shared" si="2"/>
        <v/>
      </c>
      <c r="X32" s="55" t="e">
        <f t="shared" si="3"/>
        <v>#VALUE!</v>
      </c>
      <c r="Y32" s="153">
        <v>37</v>
      </c>
      <c r="Z32" s="191">
        <f t="shared" si="5"/>
        <v>0</v>
      </c>
      <c r="AA32">
        <v>3500</v>
      </c>
    </row>
    <row r="33" spans="2:27">
      <c r="D33" s="48">
        <v>38</v>
      </c>
      <c r="E33" s="48">
        <f>IF(D33&lt;入力!$C$17,NA(),IF(D33&gt;入力!$H$48,NA(),D33))</f>
        <v>38</v>
      </c>
      <c r="F33" s="55">
        <f>IF(E33&gt;入力!$C$17,IF(S32&gt;=P32,P33,(F32-L32)*(1-$B$27)),IF(E33=入力!$C$17,入力!$C$18,NA()))</f>
        <v>833.00436555367423</v>
      </c>
      <c r="G33" s="49">
        <f>'樹高計算 '!N31</f>
        <v>21.482660040158859</v>
      </c>
      <c r="H33" s="49">
        <f>直径材積計算!L146</f>
        <v>565.67105933931236</v>
      </c>
      <c r="I33" s="49">
        <f>直径材積計算!I146</f>
        <v>29.28064210267361</v>
      </c>
      <c r="J33" s="84">
        <f t="shared" si="4"/>
        <v>0.67907334310706402</v>
      </c>
      <c r="K33" s="84">
        <f>ROUNDDOWN(直径材積計算!X146,2)</f>
        <v>0.68</v>
      </c>
      <c r="L33" s="55">
        <f t="shared" si="0"/>
        <v>0</v>
      </c>
      <c r="M33" s="62">
        <f t="shared" si="1"/>
        <v>0</v>
      </c>
      <c r="N33" s="62">
        <f t="shared" si="6"/>
        <v>0</v>
      </c>
      <c r="O33" s="49">
        <f>直径材積計算!U146</f>
        <v>0</v>
      </c>
      <c r="P33" s="204">
        <f>直径材積計算!K30</f>
        <v>1947.5343793337991</v>
      </c>
      <c r="Q33" s="204">
        <f>VLOOKUP(G33,密度計算!A58:Q58,$AA$4,FALSE)</f>
        <v>741.26753600049767</v>
      </c>
      <c r="R33" s="49">
        <f>VLOOKUP(G33,密度計算!A58:Q58,$AA$5,FALSE)</f>
        <v>998.73049034606697</v>
      </c>
      <c r="S33" s="55">
        <f>直径材積計算!N146</f>
        <v>833.00436555367423</v>
      </c>
      <c r="T33" s="49">
        <f>直径材積計算!T146</f>
        <v>565.67105933931236</v>
      </c>
      <c r="U33" s="49">
        <f>直径材積計算!S146</f>
        <v>29.28064210267361</v>
      </c>
      <c r="V33" s="84">
        <f>直径材積計算!Y146</f>
        <v>0.68926014634380539</v>
      </c>
      <c r="W33" s="55" t="str">
        <f t="shared" si="2"/>
        <v/>
      </c>
      <c r="X33" s="55" t="e">
        <f t="shared" si="3"/>
        <v>#VALUE!</v>
      </c>
      <c r="Y33" s="153">
        <v>38</v>
      </c>
      <c r="Z33" s="191">
        <f t="shared" si="5"/>
        <v>0</v>
      </c>
    </row>
    <row r="34" spans="2:27">
      <c r="D34" s="48">
        <v>39</v>
      </c>
      <c r="E34" s="48">
        <f>IF(D34&lt;入力!$C$17,NA(),IF(D34&gt;入力!$H$48,NA(),D34))</f>
        <v>39</v>
      </c>
      <c r="F34" s="55">
        <f>IF(E34&gt;入力!$C$17,IF(S33&gt;=P33,P34,(F33-L33)*(1-$B$27)),IF(E34=入力!$C$17,入力!$C$18,NA()))</f>
        <v>833.00436555367423</v>
      </c>
      <c r="G34" s="49">
        <f>'樹高計算 '!N32</f>
        <v>21.837963543650535</v>
      </c>
      <c r="H34" s="49">
        <f>直径材積計算!L147</f>
        <v>584.16173400716696</v>
      </c>
      <c r="I34" s="49">
        <f>直径材積計算!I147</f>
        <v>29.530746049025506</v>
      </c>
      <c r="J34" s="84">
        <f t="shared" si="4"/>
        <v>0.70127091545179521</v>
      </c>
      <c r="K34" s="84">
        <f>ROUNDDOWN(直径材積計算!X147,2)</f>
        <v>0.69</v>
      </c>
      <c r="L34" s="55">
        <f t="shared" si="0"/>
        <v>0</v>
      </c>
      <c r="M34" s="62">
        <f t="shared" si="1"/>
        <v>0</v>
      </c>
      <c r="N34" s="62">
        <f t="shared" si="6"/>
        <v>0</v>
      </c>
      <c r="O34" s="49">
        <f>直径材積計算!U147</f>
        <v>0</v>
      </c>
      <c r="P34" s="204">
        <f>直径材積計算!K31</f>
        <v>1935.9474204362002</v>
      </c>
      <c r="Q34" s="204">
        <f>VLOOKUP(G34,密度計算!A59:Q59,$AA$4,FALSE)</f>
        <v>725.06586638993929</v>
      </c>
      <c r="R34" s="49">
        <f>VLOOKUP(G34,密度計算!A59:Q59,$AA$5,FALSE)</f>
        <v>976.90152759142779</v>
      </c>
      <c r="S34" s="55">
        <f>直径材積計算!N147</f>
        <v>833.00436555367423</v>
      </c>
      <c r="T34" s="49">
        <f>直径材積計算!T147</f>
        <v>584.16173400716696</v>
      </c>
      <c r="U34" s="49">
        <f>直径材積計算!S147</f>
        <v>29.530746049025506</v>
      </c>
      <c r="V34" s="84">
        <f>直径材積計算!Y147</f>
        <v>0.69669197019456963</v>
      </c>
      <c r="W34" s="55" t="str">
        <f t="shared" si="2"/>
        <v/>
      </c>
      <c r="X34" s="55" t="e">
        <f t="shared" si="3"/>
        <v>#VALUE!</v>
      </c>
      <c r="Y34" s="153">
        <v>39</v>
      </c>
      <c r="Z34" s="191">
        <f t="shared" si="5"/>
        <v>0</v>
      </c>
      <c r="AA34" s="151"/>
    </row>
    <row r="35" spans="2:27">
      <c r="B35" s="61"/>
      <c r="D35" s="48">
        <v>40</v>
      </c>
      <c r="E35" s="48">
        <f>IF(D35&lt;入力!$C$17,NA(),IF(D35&gt;入力!$H$48,NA(),D35))</f>
        <v>40</v>
      </c>
      <c r="F35" s="55">
        <f>IF(E35&gt;入力!$C$17,IF(S34&gt;=P34,P35,(F34-L34)*(1-$B$27)),IF(E35=入力!$C$17,入力!$C$18,NA()))</f>
        <v>833.00436555367423</v>
      </c>
      <c r="G35" s="49">
        <f>'樹高計算 '!N33</f>
        <v>22.183923011010634</v>
      </c>
      <c r="H35" s="49">
        <f>直径材積計算!L148</f>
        <v>602.37715849247434</v>
      </c>
      <c r="I35" s="49">
        <f>直径材積計算!I148</f>
        <v>29.770326614206979</v>
      </c>
      <c r="J35" s="84">
        <f t="shared" si="4"/>
        <v>0.72313805713622092</v>
      </c>
      <c r="K35" s="84">
        <f>ROUNDDOWN(直径材積計算!X148,2)</f>
        <v>0.7</v>
      </c>
      <c r="L35" s="55">
        <f t="shared" si="0"/>
        <v>0</v>
      </c>
      <c r="M35" s="62">
        <f t="shared" si="1"/>
        <v>0</v>
      </c>
      <c r="N35" s="62">
        <f t="shared" si="6"/>
        <v>0</v>
      </c>
      <c r="O35" s="49">
        <f>直径材積計算!U148</f>
        <v>0</v>
      </c>
      <c r="P35" s="204">
        <f>直径材積計算!K32</f>
        <v>1924.7210509017389</v>
      </c>
      <c r="Q35" s="204">
        <f>VLOOKUP(G35,密度計算!A60:Q60,$AA$4,FALSE)</f>
        <v>709.87392931097247</v>
      </c>
      <c r="R35" s="49">
        <f>VLOOKUP(G35,密度計算!A60:Q60,$AA$5,FALSE)</f>
        <v>956.43300572677549</v>
      </c>
      <c r="S35" s="55">
        <f>直径材積計算!N148</f>
        <v>833.00436555367423</v>
      </c>
      <c r="T35" s="49">
        <f>直径材積計算!T148</f>
        <v>602.37715849247434</v>
      </c>
      <c r="U35" s="49">
        <f>直径材積計算!S148</f>
        <v>29.770326614206979</v>
      </c>
      <c r="V35" s="84">
        <f>直径材積計算!Y148</f>
        <v>0.7038077030763662</v>
      </c>
      <c r="W35" s="55" t="str">
        <f t="shared" si="2"/>
        <v/>
      </c>
      <c r="X35" s="55" t="e">
        <f t="shared" si="3"/>
        <v>#VALUE!</v>
      </c>
      <c r="Y35" s="153">
        <v>40</v>
      </c>
      <c r="Z35" s="191">
        <f t="shared" si="5"/>
        <v>0</v>
      </c>
    </row>
    <row r="36" spans="2:27">
      <c r="D36" s="48">
        <v>41</v>
      </c>
      <c r="E36" s="48">
        <f>IF(D36&lt;入力!$C$17,NA(),IF(D36&gt;入力!$H$48,NA(),D36))</f>
        <v>41</v>
      </c>
      <c r="F36" s="55">
        <f>IF(E36&gt;入力!$C$17,IF(S35&gt;=P35,P36,(F35-L35)*(1-$B$27)),IF(E36=入力!$C$17,入力!$C$18,NA()))</f>
        <v>833.00436555367423</v>
      </c>
      <c r="G36" s="49">
        <f>'樹高計算 '!N34</f>
        <v>22.520751045788124</v>
      </c>
      <c r="H36" s="49">
        <f>直径材積計算!L149</f>
        <v>620.30883729133245</v>
      </c>
      <c r="I36" s="49">
        <f>直径材積計算!I149</f>
        <v>29.999932413522846</v>
      </c>
      <c r="J36" s="84">
        <f t="shared" si="4"/>
        <v>0.74466456952963367</v>
      </c>
      <c r="K36" s="84">
        <f>ROUNDDOWN(直径材積計算!X149,2)</f>
        <v>0.71</v>
      </c>
      <c r="L36" s="55">
        <f t="shared" si="0"/>
        <v>0</v>
      </c>
      <c r="M36" s="62">
        <f t="shared" si="1"/>
        <v>0</v>
      </c>
      <c r="N36" s="62">
        <f t="shared" si="6"/>
        <v>0</v>
      </c>
      <c r="O36" s="49">
        <f>直径材積計算!U149</f>
        <v>0</v>
      </c>
      <c r="P36" s="204">
        <f>直径材積計算!K33</f>
        <v>1913.8455158331576</v>
      </c>
      <c r="Q36" s="204">
        <f>VLOOKUP(G36,密度計算!A61:Q61,$AA$4,FALSE)</f>
        <v>695.60787027573122</v>
      </c>
      <c r="R36" s="49">
        <f>VLOOKUP(G36,密度計算!A61:Q61,$AA$5,FALSE)</f>
        <v>937.21194525453757</v>
      </c>
      <c r="S36" s="55">
        <f>直径材積計算!N149</f>
        <v>833.00436555367423</v>
      </c>
      <c r="T36" s="49">
        <f>直径材積計算!T149</f>
        <v>620.30883729133245</v>
      </c>
      <c r="U36" s="49">
        <f>直径材積計算!S149</f>
        <v>29.999932413522846</v>
      </c>
      <c r="V36" s="84">
        <f>直径材積計算!Y149</f>
        <v>0.71062338303679007</v>
      </c>
      <c r="W36" s="55" t="str">
        <f t="shared" si="2"/>
        <v/>
      </c>
      <c r="X36" s="55" t="e">
        <f t="shared" si="3"/>
        <v>#VALUE!</v>
      </c>
      <c r="Y36" s="153">
        <v>41</v>
      </c>
      <c r="Z36" s="191">
        <f t="shared" si="5"/>
        <v>0</v>
      </c>
    </row>
    <row r="37" spans="2:27">
      <c r="D37" s="48">
        <v>42</v>
      </c>
      <c r="E37" s="48">
        <f>IF(D37&lt;入力!$C$17,NA(),IF(D37&gt;入力!$H$48,NA(),D37))</f>
        <v>42</v>
      </c>
      <c r="F37" s="55">
        <f>IF(E37&gt;入力!$C$17,IF(S36&gt;=P36,P37,(F36-L36)*(1-$B$27)),IF(E37=入力!$C$17,入力!$C$18,NA()))</f>
        <v>833.00436555367423</v>
      </c>
      <c r="G37" s="49">
        <f>'樹高計算 '!N35</f>
        <v>22.848659948719757</v>
      </c>
      <c r="H37" s="49">
        <f>直径材積計算!L150</f>
        <v>637.94972230689098</v>
      </c>
      <c r="I37" s="49">
        <f>直径材積計算!I150</f>
        <v>30.220077884262597</v>
      </c>
      <c r="J37" s="84">
        <f t="shared" si="4"/>
        <v>0.7658419915757152</v>
      </c>
      <c r="K37" s="84">
        <f>ROUNDDOWN(直径材積計算!X150,2)</f>
        <v>0.71</v>
      </c>
      <c r="L37" s="55">
        <f t="shared" ref="L37:L68" si="7">IF(F37-R37&lt;0,0,ROUNDUP(F37-Q37,-1))</f>
        <v>0</v>
      </c>
      <c r="M37" s="62">
        <f t="shared" ref="M37:M68" si="8">L37/F37</f>
        <v>0</v>
      </c>
      <c r="N37" s="62">
        <f t="shared" si="6"/>
        <v>0</v>
      </c>
      <c r="O37" s="49">
        <f>直径材積計算!U150</f>
        <v>0</v>
      </c>
      <c r="P37" s="204">
        <f>直径材積計算!K34</f>
        <v>1903.3109656898844</v>
      </c>
      <c r="Q37" s="204">
        <f>VLOOKUP(G37,密度計算!A62:Q62,$AA$4,FALSE)</f>
        <v>682.19256953710976</v>
      </c>
      <c r="R37" s="49">
        <f>VLOOKUP(G37,密度計算!A62:Q62,$AA$5,FALSE)</f>
        <v>919.13713523774709</v>
      </c>
      <c r="S37" s="55">
        <f>直径材積計算!N150</f>
        <v>833.00436555367423</v>
      </c>
      <c r="T37" s="49">
        <f>直径材積計算!T150</f>
        <v>637.94972230689098</v>
      </c>
      <c r="U37" s="49">
        <f>直径材積計算!S150</f>
        <v>30.220077884262597</v>
      </c>
      <c r="V37" s="84">
        <f>直径材積計算!Y150</f>
        <v>0.71715414845786385</v>
      </c>
      <c r="W37" s="55" t="str">
        <f t="shared" ref="W37:W68" si="9">IF(N37=0,"",D37)</f>
        <v/>
      </c>
      <c r="X37" s="55" t="e">
        <f t="shared" ref="X37:X68" si="10">RANK(W37,$W$5:$W$115,1)</f>
        <v>#VALUE!</v>
      </c>
      <c r="Y37" s="153">
        <v>42</v>
      </c>
      <c r="Z37" s="191">
        <f t="shared" si="5"/>
        <v>0</v>
      </c>
    </row>
    <row r="38" spans="2:27">
      <c r="D38" s="48">
        <v>43</v>
      </c>
      <c r="E38" s="48">
        <f>IF(D38&lt;入力!$C$17,NA(),IF(D38&gt;入力!$H$48,NA(),D38))</f>
        <v>43</v>
      </c>
      <c r="F38" s="55">
        <f>IF(E38&gt;入力!$C$17,IF(S37&gt;=P37,P38,(F37-L37)*(1-$B$27)),IF(E38=入力!$C$17,入力!$C$18,NA()))</f>
        <v>833.00436555367423</v>
      </c>
      <c r="G38" s="49">
        <f>'樹高計算 '!N36</f>
        <v>23.167861191282384</v>
      </c>
      <c r="H38" s="49">
        <f>直径材積計算!L151</f>
        <v>655.29408668297219</v>
      </c>
      <c r="I38" s="49">
        <f>直径材積計算!I151</f>
        <v>30.431245730850911</v>
      </c>
      <c r="J38" s="84">
        <f t="shared" si="4"/>
        <v>0.78666344833309121</v>
      </c>
      <c r="K38" s="84">
        <f>ROUNDDOWN(直径材積計算!X151,2)</f>
        <v>0.72</v>
      </c>
      <c r="L38" s="55">
        <f t="shared" si="7"/>
        <v>0</v>
      </c>
      <c r="M38" s="62">
        <f t="shared" si="8"/>
        <v>0</v>
      </c>
      <c r="N38" s="62">
        <f t="shared" si="6"/>
        <v>0</v>
      </c>
      <c r="O38" s="49">
        <f>直径材積計算!U151</f>
        <v>0</v>
      </c>
      <c r="P38" s="204">
        <f>直径材積計算!K35</f>
        <v>1893.1075229241142</v>
      </c>
      <c r="Q38" s="204">
        <f>VLOOKUP(G38,密度計算!A63:Q63,$AA$4,FALSE)</f>
        <v>669.56055302245954</v>
      </c>
      <c r="R38" s="49">
        <f>VLOOKUP(G38,密度計算!A63:Q63,$AA$5,FALSE)</f>
        <v>902.11766597054338</v>
      </c>
      <c r="S38" s="55">
        <f>直径材積計算!N151</f>
        <v>833.00436555367423</v>
      </c>
      <c r="T38" s="49">
        <f>直径材積計算!T151</f>
        <v>655.29408668297219</v>
      </c>
      <c r="U38" s="49">
        <f>直径材積計算!S151</f>
        <v>30.431245730850911</v>
      </c>
      <c r="V38" s="84">
        <f>直径材積計算!Y151</f>
        <v>0.723414286993314</v>
      </c>
      <c r="W38" s="55" t="str">
        <f t="shared" si="9"/>
        <v/>
      </c>
      <c r="X38" s="55" t="e">
        <f t="shared" si="10"/>
        <v>#VALUE!</v>
      </c>
      <c r="Y38" s="153">
        <v>43</v>
      </c>
      <c r="Z38" s="191">
        <f t="shared" si="5"/>
        <v>0</v>
      </c>
    </row>
    <row r="39" spans="2:27">
      <c r="D39" s="48">
        <v>44</v>
      </c>
      <c r="E39" s="48">
        <f>IF(D39&lt;入力!$C$17,NA(),IF(D39&gt;入力!$H$48,NA(),D39))</f>
        <v>44</v>
      </c>
      <c r="F39" s="55">
        <f>IF(E39&gt;入力!$C$17,IF(S38&gt;=P38,P39,(F38-L38)*(1-$B$27)),IF(E39=入力!$C$17,入力!$C$18,NA()))</f>
        <v>833.00436555367423</v>
      </c>
      <c r="G39" s="49">
        <f>'樹高計算 '!N37</f>
        <v>23.478564929459516</v>
      </c>
      <c r="H39" s="49">
        <f>直径材積計算!L152</f>
        <v>672.33740623230506</v>
      </c>
      <c r="I39" s="49">
        <f>直径材積計算!I152</f>
        <v>30.633889165865401</v>
      </c>
      <c r="J39" s="84">
        <f t="shared" si="4"/>
        <v>0.80712350863302085</v>
      </c>
      <c r="K39" s="84">
        <f>ROUNDDOWN(直径材積計算!X152,2)</f>
        <v>0.72</v>
      </c>
      <c r="L39" s="55">
        <f t="shared" si="7"/>
        <v>0</v>
      </c>
      <c r="M39" s="62">
        <f t="shared" si="8"/>
        <v>0</v>
      </c>
      <c r="N39" s="62">
        <f t="shared" si="6"/>
        <v>0</v>
      </c>
      <c r="O39" s="49">
        <f>直径材積計算!U152</f>
        <v>0</v>
      </c>
      <c r="P39" s="204">
        <f>直径材積計算!K36</f>
        <v>1883.2253382503186</v>
      </c>
      <c r="Q39" s="204">
        <f>VLOOKUP(G39,密度計算!A64:Q64,$AA$4,FALSE)</f>
        <v>657.6510611622964</v>
      </c>
      <c r="R39" s="49">
        <f>VLOOKUP(G39,密度計算!A64:Q64,$AA$5,FALSE)</f>
        <v>886.07167438503689</v>
      </c>
      <c r="S39" s="55">
        <f>直径材積計算!N152</f>
        <v>833.00436555367423</v>
      </c>
      <c r="T39" s="49">
        <f>直径材積計算!T152</f>
        <v>672.33740623230506</v>
      </c>
      <c r="U39" s="49">
        <f>直径材積計算!S152</f>
        <v>30.633889165865401</v>
      </c>
      <c r="V39" s="84">
        <f>直径材積計算!Y152</f>
        <v>0.72941728259923755</v>
      </c>
      <c r="W39" s="55" t="str">
        <f t="shared" si="9"/>
        <v/>
      </c>
      <c r="X39" s="55" t="e">
        <f t="shared" si="10"/>
        <v>#VALUE!</v>
      </c>
      <c r="Y39" s="153">
        <v>44</v>
      </c>
      <c r="Z39" s="191">
        <f t="shared" si="5"/>
        <v>0</v>
      </c>
    </row>
    <row r="40" spans="2:27">
      <c r="D40" s="48">
        <v>45</v>
      </c>
      <c r="E40" s="48">
        <f>IF(D40&lt;入力!$C$17,NA(),IF(D40&gt;入力!$H$48,NA(),D40))</f>
        <v>45</v>
      </c>
      <c r="F40" s="55">
        <f>IF(E40&gt;入力!$C$17,IF(S39&gt;=P39,P40,(F39-L39)*(1-$B$27)),IF(E40=入力!$C$17,入力!$C$18,NA()))</f>
        <v>833.00436555367423</v>
      </c>
      <c r="G40" s="49">
        <f>'樹高計算 '!N38</f>
        <v>23.780979559582203</v>
      </c>
      <c r="H40" s="49">
        <f>直径材積計算!L153</f>
        <v>689.07624840194057</v>
      </c>
      <c r="I40" s="49">
        <f>直径材積計算!I153</f>
        <v>30.828433967991618</v>
      </c>
      <c r="J40" s="84">
        <f t="shared" si="4"/>
        <v>0.82721805178527641</v>
      </c>
      <c r="K40" s="84">
        <f>ROUNDDOWN(直径材積計算!X153,2)</f>
        <v>0.73</v>
      </c>
      <c r="L40" s="55">
        <f t="shared" si="7"/>
        <v>0</v>
      </c>
      <c r="M40" s="62">
        <f t="shared" si="8"/>
        <v>0</v>
      </c>
      <c r="N40" s="62">
        <f t="shared" si="6"/>
        <v>0</v>
      </c>
      <c r="O40" s="49">
        <f>直径材積計算!U153</f>
        <v>0</v>
      </c>
      <c r="P40" s="204">
        <f>直径材積計算!K37</f>
        <v>1873.6546378454477</v>
      </c>
      <c r="Q40" s="204">
        <f>VLOOKUP(G40,密度計算!A65:Q65,$AA$4,FALSE)</f>
        <v>646.40924957778566</v>
      </c>
      <c r="R40" s="49">
        <f>VLOOKUP(G40,密度計算!A65:Q65,$AA$5,FALSE)</f>
        <v>870.92526711519383</v>
      </c>
      <c r="S40" s="55">
        <f>直径材積計算!N153</f>
        <v>833.00436555367423</v>
      </c>
      <c r="T40" s="49">
        <f>直径材積計算!T153</f>
        <v>689.07624840194057</v>
      </c>
      <c r="U40" s="49">
        <f>直径材積計算!S153</f>
        <v>30.828433967991618</v>
      </c>
      <c r="V40" s="84">
        <f>直径材積計算!Y153</f>
        <v>0.73517586058567297</v>
      </c>
      <c r="W40" s="55" t="str">
        <f t="shared" si="9"/>
        <v/>
      </c>
      <c r="X40" s="55" t="e">
        <f t="shared" si="10"/>
        <v>#VALUE!</v>
      </c>
      <c r="Y40" s="153">
        <v>45</v>
      </c>
      <c r="Z40" s="191">
        <f t="shared" si="5"/>
        <v>0</v>
      </c>
    </row>
    <row r="41" spans="2:27">
      <c r="D41" s="48">
        <v>46</v>
      </c>
      <c r="E41" s="48">
        <f>IF(D41&lt;入力!$C$17,NA(),IF(D41&gt;入力!$H$48,NA(),D41))</f>
        <v>46</v>
      </c>
      <c r="F41" s="55">
        <f>IF(E41&gt;入力!$C$17,IF(S40&gt;=P40,P41,(F40-L40)*(1-$B$27)),IF(E41=入力!$C$17,入力!$C$18,NA()))</f>
        <v>833.00436555367423</v>
      </c>
      <c r="G41" s="49">
        <f>'樹高計算 '!N39</f>
        <v>24.075311317201503</v>
      </c>
      <c r="H41" s="49">
        <f>直径材積計算!L154</f>
        <v>705.50816865861123</v>
      </c>
      <c r="I41" s="49">
        <f>直径材積計算!I154</f>
        <v>31.01528037536141</v>
      </c>
      <c r="J41" s="84">
        <f t="shared" si="4"/>
        <v>0.8469441431914706</v>
      </c>
      <c r="K41" s="84">
        <f>ROUNDDOWN(直径材積計算!X154,2)</f>
        <v>0.74</v>
      </c>
      <c r="L41" s="55">
        <f t="shared" si="7"/>
        <v>0</v>
      </c>
      <c r="M41" s="62">
        <f t="shared" si="8"/>
        <v>0</v>
      </c>
      <c r="N41" s="62">
        <f t="shared" si="6"/>
        <v>0</v>
      </c>
      <c r="O41" s="49">
        <f>直径材積計算!U154</f>
        <v>0</v>
      </c>
      <c r="P41" s="204">
        <f>直径材積計算!K38</f>
        <v>1864.3857626207534</v>
      </c>
      <c r="Q41" s="204">
        <f>VLOOKUP(G41,密度計算!A66:Q66,$AA$4,FALSE)</f>
        <v>635.78550037514071</v>
      </c>
      <c r="R41" s="49">
        <f>VLOOKUP(G41,密度計算!A66:Q66,$AA$5,FALSE)</f>
        <v>856.61159258451255</v>
      </c>
      <c r="S41" s="55">
        <f>直径材積計算!N154</f>
        <v>833.00436555367423</v>
      </c>
      <c r="T41" s="49">
        <f>直径材積計算!T154</f>
        <v>705.50816865861123</v>
      </c>
      <c r="U41" s="49">
        <f>直径材積計算!S154</f>
        <v>31.01528037536141</v>
      </c>
      <c r="V41" s="84">
        <f>直径材積計算!Y154</f>
        <v>0.74070203065569584</v>
      </c>
      <c r="W41" s="55" t="str">
        <f t="shared" si="9"/>
        <v/>
      </c>
      <c r="X41" s="55" t="e">
        <f t="shared" si="10"/>
        <v>#VALUE!</v>
      </c>
      <c r="Y41" s="153">
        <v>46</v>
      </c>
      <c r="Z41" s="191">
        <f t="shared" si="5"/>
        <v>0</v>
      </c>
    </row>
    <row r="42" spans="2:27">
      <c r="D42" s="48">
        <v>47</v>
      </c>
      <c r="E42" s="48">
        <f>IF(D42&lt;入力!$C$17,NA(),IF(D42&gt;入力!$H$48,NA(),D42))</f>
        <v>47</v>
      </c>
      <c r="F42" s="55">
        <f>IF(E42&gt;入力!$C$17,IF(S41&gt;=P41,P42,(F41-L41)*(1-$B$27)),IF(E42=入力!$C$17,入力!$C$18,NA()))</f>
        <v>833.00436555367423</v>
      </c>
      <c r="G42" s="49">
        <f>'樹高計算 '!N40</f>
        <v>24.361763919122062</v>
      </c>
      <c r="H42" s="49">
        <f>直径材積計算!L155</f>
        <v>721.63161412283648</v>
      </c>
      <c r="I42" s="49">
        <f>直径材積計算!I155</f>
        <v>31.194804830427334</v>
      </c>
      <c r="J42" s="84">
        <f t="shared" si="4"/>
        <v>0.86629991866031641</v>
      </c>
      <c r="K42" s="84">
        <f>ROUNDDOWN(直径材積計算!X155,2)</f>
        <v>0.74</v>
      </c>
      <c r="L42" s="55">
        <f t="shared" si="7"/>
        <v>0</v>
      </c>
      <c r="M42" s="62">
        <f t="shared" si="8"/>
        <v>0</v>
      </c>
      <c r="N42" s="62">
        <f t="shared" si="6"/>
        <v>0</v>
      </c>
      <c r="O42" s="49">
        <f>直径材積計算!U155</f>
        <v>0</v>
      </c>
      <c r="P42" s="204">
        <f>直径材積計算!K39</f>
        <v>1855.4092005717732</v>
      </c>
      <c r="Q42" s="204">
        <f>VLOOKUP(G42,密度計算!A67:Q67,$AA$4,FALSE)</f>
        <v>625.73482661702064</v>
      </c>
      <c r="R42" s="49">
        <f>VLOOKUP(G42,密度計算!A67:Q67,$AA$5,FALSE)</f>
        <v>843.07003863367436</v>
      </c>
      <c r="S42" s="55">
        <f>直径材積計算!N155</f>
        <v>833.00436555367423</v>
      </c>
      <c r="T42" s="49">
        <f>直径材積計算!T155</f>
        <v>721.63161412283648</v>
      </c>
      <c r="U42" s="49">
        <f>直径材積計算!S155</f>
        <v>31.194804830427334</v>
      </c>
      <c r="V42" s="84">
        <f>直径材積計算!Y155</f>
        <v>0.74600712792753343</v>
      </c>
      <c r="W42" s="55" t="str">
        <f t="shared" si="9"/>
        <v/>
      </c>
      <c r="X42" s="55" t="e">
        <f t="shared" si="10"/>
        <v>#VALUE!</v>
      </c>
      <c r="Y42" s="153">
        <v>47</v>
      </c>
      <c r="Z42" s="191">
        <f t="shared" si="5"/>
        <v>0</v>
      </c>
    </row>
    <row r="43" spans="2:27">
      <c r="D43" s="48">
        <v>48</v>
      </c>
      <c r="E43" s="48">
        <f>IF(D43&lt;入力!$C$17,NA(),IF(D43&gt;入力!$H$48,NA(),D43))</f>
        <v>48</v>
      </c>
      <c r="F43" s="55">
        <f>IF(E43&gt;入力!$C$17,IF(S42&gt;=P42,P43,(F42-L42)*(1-$B$27)),IF(E43=入力!$C$17,入力!$C$18,NA()))</f>
        <v>833.00436555367423</v>
      </c>
      <c r="G43" s="49">
        <f>'樹高計算 '!N41</f>
        <v>24.64053824799684</v>
      </c>
      <c r="H43" s="49">
        <f>直径材積計算!L156</f>
        <v>737.44583423342112</v>
      </c>
      <c r="I43" s="49">
        <f>直径材積計算!I156</f>
        <v>31.367361590533299</v>
      </c>
      <c r="J43" s="84">
        <f t="shared" si="4"/>
        <v>0.88528447716268799</v>
      </c>
      <c r="K43" s="84">
        <f>ROUNDDOWN(直径材積計算!X156,2)</f>
        <v>0.75</v>
      </c>
      <c r="L43" s="55">
        <f t="shared" si="7"/>
        <v>220</v>
      </c>
      <c r="M43" s="62">
        <f t="shared" si="8"/>
        <v>0.26410425814968241</v>
      </c>
      <c r="N43" s="62">
        <f t="shared" si="6"/>
        <v>0.26410425814968241</v>
      </c>
      <c r="O43" s="49">
        <f>直径材積計算!U156</f>
        <v>100.98854096032574</v>
      </c>
      <c r="P43" s="204">
        <f>直径材積計算!K40</f>
        <v>1846.7156130965525</v>
      </c>
      <c r="Q43" s="204">
        <f>VLOOKUP(G43,密度計算!A68:Q68,$AA$4,FALSE)</f>
        <v>616.21635560966547</v>
      </c>
      <c r="R43" s="49">
        <f>VLOOKUP(G43,密度計算!A68:Q68,$AA$5,FALSE)</f>
        <v>830.24553633884523</v>
      </c>
      <c r="S43" s="55">
        <f>直径材積計算!N156</f>
        <v>613.00436555367423</v>
      </c>
      <c r="T43" s="49">
        <f>直径材積計算!T156</f>
        <v>636.45729327309539</v>
      </c>
      <c r="U43" s="49">
        <f>直径材積計算!S156</f>
        <v>34.564813773661619</v>
      </c>
      <c r="V43" s="84">
        <f>直径材積計算!Y156</f>
        <v>0.64824320577467209</v>
      </c>
      <c r="W43" s="55">
        <f t="shared" si="9"/>
        <v>48</v>
      </c>
      <c r="X43" s="55">
        <f t="shared" si="10"/>
        <v>4</v>
      </c>
      <c r="Y43" s="153">
        <v>48</v>
      </c>
      <c r="Z43" s="191">
        <f t="shared" si="5"/>
        <v>0.26410425814968241</v>
      </c>
    </row>
    <row r="44" spans="2:27">
      <c r="D44" s="48">
        <v>49</v>
      </c>
      <c r="E44" s="48">
        <f>IF(D44&lt;入力!$C$17,NA(),IF(D44&gt;入力!$H$48,NA(),D44))</f>
        <v>49</v>
      </c>
      <c r="F44" s="55">
        <f>IF(E44&gt;入力!$C$17,IF(S43&gt;=P43,P44,(F43-L43)*(1-$B$27)),IF(E44=入力!$C$17,入力!$C$18,NA()))</f>
        <v>613.00436555367423</v>
      </c>
      <c r="G44" s="49">
        <f>'樹高計算 '!N42</f>
        <v>24.911832078263824</v>
      </c>
      <c r="H44" s="49">
        <f>直径材積計算!L157</f>
        <v>650.57149919226401</v>
      </c>
      <c r="I44" s="49">
        <f>直径材積計算!I157</f>
        <v>34.768742386492079</v>
      </c>
      <c r="J44" s="84">
        <f t="shared" si="4"/>
        <v>1.0612836314871243</v>
      </c>
      <c r="K44" s="84">
        <f>ROUNDDOWN(直径材積計算!X157,2)</f>
        <v>0.65</v>
      </c>
      <c r="L44" s="55">
        <f t="shared" si="7"/>
        <v>0</v>
      </c>
      <c r="M44" s="62">
        <f t="shared" si="8"/>
        <v>0</v>
      </c>
      <c r="N44" s="62">
        <f t="shared" si="6"/>
        <v>0</v>
      </c>
      <c r="O44" s="49">
        <f>直径材積計算!U157</f>
        <v>0</v>
      </c>
      <c r="P44" s="204">
        <f>直径材積計算!K41</f>
        <v>1838.2958560703667</v>
      </c>
      <c r="Q44" s="204">
        <f>VLOOKUP(G44,密度計算!A69:Q69,$AA$4,FALSE)</f>
        <v>607.19287912033826</v>
      </c>
      <c r="R44" s="49">
        <f>VLOOKUP(G44,密度計算!A69:Q69,$AA$5,FALSE)</f>
        <v>818.08795400705151</v>
      </c>
      <c r="S44" s="55">
        <f>直径材積計算!N157</f>
        <v>613.00436555367423</v>
      </c>
      <c r="T44" s="49">
        <f>直径材積計算!T157</f>
        <v>650.57149919226401</v>
      </c>
      <c r="U44" s="49">
        <f>直径材積計算!S157</f>
        <v>34.768742386492079</v>
      </c>
      <c r="V44" s="84">
        <f>直径材積計算!Y157</f>
        <v>0.65320290505853573</v>
      </c>
      <c r="W44" s="55" t="str">
        <f t="shared" si="9"/>
        <v/>
      </c>
      <c r="X44" s="55" t="e">
        <f t="shared" si="10"/>
        <v>#VALUE!</v>
      </c>
      <c r="Y44" s="153">
        <v>49</v>
      </c>
      <c r="Z44" s="191">
        <f t="shared" si="5"/>
        <v>0</v>
      </c>
    </row>
    <row r="45" spans="2:27">
      <c r="D45" s="48">
        <v>50</v>
      </c>
      <c r="E45" s="48">
        <f>IF(D45&lt;入力!$C$17,NA(),IF(D45&gt;入力!$H$48,NA(),D45))</f>
        <v>50</v>
      </c>
      <c r="F45" s="55">
        <f>IF(E45&gt;入力!$C$17,IF(S44&gt;=P44,P45,(F44-L44)*(1-$B$27)),IF(E45=入力!$C$17,入力!$C$18,NA()))</f>
        <v>613.00436555367423</v>
      </c>
      <c r="G45" s="49">
        <f>'樹高計算 '!N43</f>
        <v>25.175839841701567</v>
      </c>
      <c r="H45" s="49">
        <f>直径材積計算!L158</f>
        <v>664.42136386514278</v>
      </c>
      <c r="I45" s="49">
        <f>直径材積計算!I158</f>
        <v>34.965136950983052</v>
      </c>
      <c r="J45" s="84">
        <f t="shared" si="4"/>
        <v>1.0838770508021227</v>
      </c>
      <c r="K45" s="84">
        <f>ROUNDDOWN(直径材積計算!X158,2)</f>
        <v>0.65</v>
      </c>
      <c r="L45" s="55">
        <f t="shared" si="7"/>
        <v>0</v>
      </c>
      <c r="M45" s="62">
        <f t="shared" si="8"/>
        <v>0</v>
      </c>
      <c r="N45" s="62">
        <f t="shared" si="6"/>
        <v>0</v>
      </c>
      <c r="O45" s="49">
        <f>直径材積計算!U158</f>
        <v>0</v>
      </c>
      <c r="P45" s="204">
        <f>直径材積計算!K42</f>
        <v>1830.1409963754991</v>
      </c>
      <c r="Q45" s="204">
        <f>VLOOKUP(G45,密度計算!A70:Q70,$AA$4,FALSE)</f>
        <v>598.63046064646744</v>
      </c>
      <c r="R45" s="49">
        <f>VLOOKUP(G45,密度計算!A70:Q70,$AA$5,FALSE)</f>
        <v>806.55156803890702</v>
      </c>
      <c r="S45" s="55">
        <f>直径材積計算!N158</f>
        <v>613.00436555367423</v>
      </c>
      <c r="T45" s="49">
        <f>直径材積計算!T158</f>
        <v>664.42136386514278</v>
      </c>
      <c r="U45" s="49">
        <f>直径材積計算!S158</f>
        <v>34.965136950983052</v>
      </c>
      <c r="V45" s="84">
        <f>直径材積計算!Y158</f>
        <v>0.65797987535215408</v>
      </c>
      <c r="W45" s="55" t="str">
        <f t="shared" si="9"/>
        <v/>
      </c>
      <c r="X45" s="55" t="e">
        <f t="shared" si="10"/>
        <v>#VALUE!</v>
      </c>
      <c r="Y45" s="153">
        <v>50</v>
      </c>
      <c r="Z45" s="191">
        <f t="shared" si="5"/>
        <v>0</v>
      </c>
    </row>
    <row r="46" spans="2:27">
      <c r="D46" s="48">
        <v>51</v>
      </c>
      <c r="E46" s="48">
        <f>IF(D46&lt;入力!$C$17,NA(),IF(D46&gt;入力!$H$48,NA(),D46))</f>
        <v>51</v>
      </c>
      <c r="F46" s="55">
        <f>IF(E46&gt;入力!$C$17,IF(S45&gt;=P45,P46,(F45-L45)*(1-$B$27)),IF(E46=入力!$C$17,入力!$C$18,NA()))</f>
        <v>613.00436555367423</v>
      </c>
      <c r="G46" s="49">
        <f>'樹高計算 '!N44</f>
        <v>25.432752430488847</v>
      </c>
      <c r="H46" s="49">
        <f>直径材積計算!L159</f>
        <v>678.00663425350751</v>
      </c>
      <c r="I46" s="49">
        <f>直径材積計算!I159</f>
        <v>35.154335074364454</v>
      </c>
      <c r="J46" s="84">
        <f t="shared" si="4"/>
        <v>1.1060388348802741</v>
      </c>
      <c r="K46" s="84">
        <f>ROUNDDOWN(直径材積計算!X159,2)</f>
        <v>0.66</v>
      </c>
      <c r="L46" s="55">
        <f t="shared" si="7"/>
        <v>0</v>
      </c>
      <c r="M46" s="62">
        <f t="shared" si="8"/>
        <v>0</v>
      </c>
      <c r="N46" s="62">
        <f t="shared" si="6"/>
        <v>0</v>
      </c>
      <c r="O46" s="49">
        <f>直径材積計算!U159</f>
        <v>0</v>
      </c>
      <c r="P46" s="204">
        <f>直径材積計算!K43</f>
        <v>1822.2423245051439</v>
      </c>
      <c r="Q46" s="204">
        <f>VLOOKUP(G46,密度計算!A71:Q71,$AA$4,FALSE)</f>
        <v>590.49809149190401</v>
      </c>
      <c r="R46" s="49">
        <f>VLOOKUP(G46,密度計算!A71:Q71,$AA$5,FALSE)</f>
        <v>795.59459955053262</v>
      </c>
      <c r="S46" s="55">
        <f>直径材積計算!N159</f>
        <v>613.00436555367423</v>
      </c>
      <c r="T46" s="49">
        <f>直径材積計算!T159</f>
        <v>678.00663425350751</v>
      </c>
      <c r="U46" s="49">
        <f>直径材積計算!S159</f>
        <v>35.154335074364454</v>
      </c>
      <c r="V46" s="84">
        <f>直径材積計算!Y159</f>
        <v>0.66258206748535997</v>
      </c>
      <c r="W46" s="55" t="str">
        <f t="shared" si="9"/>
        <v/>
      </c>
      <c r="X46" s="55" t="e">
        <f t="shared" si="10"/>
        <v>#VALUE!</v>
      </c>
      <c r="Y46" s="153">
        <v>51</v>
      </c>
      <c r="Z46" s="191">
        <f t="shared" si="5"/>
        <v>0</v>
      </c>
    </row>
    <row r="47" spans="2:27">
      <c r="D47" s="48">
        <v>52</v>
      </c>
      <c r="E47" s="48">
        <f>IF(D47&lt;入力!$C$17,NA(),IF(D47&gt;入力!$H$48,NA(),D47))</f>
        <v>52</v>
      </c>
      <c r="F47" s="55">
        <f>IF(E47&gt;入力!$C$17,IF(S46&gt;=P46,P47,(F46-L46)*(1-$B$27)),IF(E47=入力!$C$17,入力!$C$18,NA()))</f>
        <v>613.00436555367423</v>
      </c>
      <c r="G47" s="49">
        <f>'樹高計算 '!N45</f>
        <v>25.682757035368347</v>
      </c>
      <c r="H47" s="49">
        <f>直径材積計算!L160</f>
        <v>691.32759919822149</v>
      </c>
      <c r="I47" s="49">
        <f>直径材積計算!I160</f>
        <v>35.336656257800101</v>
      </c>
      <c r="J47" s="84">
        <f t="shared" si="4"/>
        <v>1.1277694549104957</v>
      </c>
      <c r="K47" s="84">
        <f>ROUNDDOWN(直径材積計算!X160,2)</f>
        <v>0.66</v>
      </c>
      <c r="L47" s="55">
        <f t="shared" si="7"/>
        <v>0</v>
      </c>
      <c r="M47" s="62">
        <f t="shared" si="8"/>
        <v>0</v>
      </c>
      <c r="N47" s="62">
        <f t="shared" si="6"/>
        <v>0</v>
      </c>
      <c r="O47" s="49">
        <f>直径材積計算!U160</f>
        <v>0</v>
      </c>
      <c r="P47" s="204">
        <f>直径材積計算!K44</f>
        <v>1814.5913637896699</v>
      </c>
      <c r="Q47" s="204">
        <f>VLOOKUP(G47,密度計算!A72:Q72,$AA$4,FALSE)</f>
        <v>582.76738874192563</v>
      </c>
      <c r="R47" s="49">
        <f>VLOOKUP(G47,密度計算!A72:Q72,$AA$5,FALSE)</f>
        <v>785.1788074468293</v>
      </c>
      <c r="S47" s="55">
        <f>直径材積計算!N160</f>
        <v>613.00436555367423</v>
      </c>
      <c r="T47" s="49">
        <f>直径材積計算!T160</f>
        <v>691.32759919822149</v>
      </c>
      <c r="U47" s="49">
        <f>直径材積計算!S160</f>
        <v>35.336656257800101</v>
      </c>
      <c r="V47" s="84">
        <f>直径材積計算!Y160</f>
        <v>0.66701704022011521</v>
      </c>
      <c r="W47" s="55" t="str">
        <f t="shared" si="9"/>
        <v/>
      </c>
      <c r="X47" s="55" t="e">
        <f t="shared" si="10"/>
        <v>#VALUE!</v>
      </c>
      <c r="Y47" s="153">
        <v>52</v>
      </c>
      <c r="Z47" s="191">
        <f t="shared" si="5"/>
        <v>0</v>
      </c>
    </row>
    <row r="48" spans="2:27">
      <c r="D48" s="48">
        <v>53</v>
      </c>
      <c r="E48" s="48">
        <f>IF(D48&lt;入力!$C$17,NA(),IF(D48&gt;入力!$H$48,NA(),D48))</f>
        <v>53</v>
      </c>
      <c r="F48" s="55">
        <f>IF(E48&gt;入力!$C$17,IF(S47&gt;=P47,P48,(F47-L47)*(1-$B$27)),IF(E48=入力!$C$17,入力!$C$18,NA()))</f>
        <v>613.00436555367423</v>
      </c>
      <c r="G48" s="49">
        <f>'樹高計算 '!N46</f>
        <v>25.926037016324717</v>
      </c>
      <c r="H48" s="49">
        <f>直径材積計算!L161</f>
        <v>704.38503311331465</v>
      </c>
      <c r="I48" s="49">
        <f>直径材積計算!I161</f>
        <v>35.512402984379627</v>
      </c>
      <c r="J48" s="84">
        <f t="shared" si="4"/>
        <v>1.1490701742019473</v>
      </c>
      <c r="K48" s="84">
        <f>ROUNDDOWN(直径材積計算!X161,2)</f>
        <v>0.67</v>
      </c>
      <c r="L48" s="55">
        <f t="shared" si="7"/>
        <v>0</v>
      </c>
      <c r="M48" s="62">
        <f t="shared" si="8"/>
        <v>0</v>
      </c>
      <c r="N48" s="62">
        <f t="shared" si="6"/>
        <v>0</v>
      </c>
      <c r="O48" s="49">
        <f>直径材積計算!U161</f>
        <v>0</v>
      </c>
      <c r="P48" s="204">
        <f>直径材積計算!K45</f>
        <v>1807.1798767301277</v>
      </c>
      <c r="Q48" s="204">
        <f>VLOOKUP(G48,密度計算!A73:Q73,$AA$4,FALSE)</f>
        <v>575.41232932591072</v>
      </c>
      <c r="R48" s="49">
        <f>VLOOKUP(G48,密度計算!A73:Q73,$AA$5,FALSE)</f>
        <v>775.2691301166783</v>
      </c>
      <c r="S48" s="55">
        <f>直径材積計算!N161</f>
        <v>613.00436555367423</v>
      </c>
      <c r="T48" s="49">
        <f>直径材積計算!T161</f>
        <v>704.38503311331465</v>
      </c>
      <c r="U48" s="49">
        <f>直径材積計算!S161</f>
        <v>35.512402984379627</v>
      </c>
      <c r="V48" s="84">
        <f>直径材積計算!Y161</f>
        <v>0.67129197945099583</v>
      </c>
      <c r="W48" s="55" t="str">
        <f t="shared" si="9"/>
        <v/>
      </c>
      <c r="X48" s="55" t="e">
        <f t="shared" si="10"/>
        <v>#VALUE!</v>
      </c>
      <c r="Y48" s="153">
        <v>53</v>
      </c>
      <c r="Z48" s="191">
        <f t="shared" si="5"/>
        <v>0</v>
      </c>
    </row>
    <row r="49" spans="4:26">
      <c r="D49" s="48">
        <v>54</v>
      </c>
      <c r="E49" s="48">
        <f>IF(D49&lt;入力!$C$17,NA(),IF(D49&gt;入力!$H$48,NA(),D49))</f>
        <v>54</v>
      </c>
      <c r="F49" s="55">
        <f>IF(E49&gt;入力!$C$17,IF(S48&gt;=P48,P49,(F48-L48)*(1-$B$27)),IF(E49=入力!$C$17,入力!$C$18,NA()))</f>
        <v>613.00436555367423</v>
      </c>
      <c r="G49" s="49">
        <f>'樹高計算 '!N47</f>
        <v>26.162771803082592</v>
      </c>
      <c r="H49" s="49">
        <f>直径材積計算!L162</f>
        <v>717.18014423502291</v>
      </c>
      <c r="I49" s="49">
        <f>直径材積計算!I162</f>
        <v>35.681861738537783</v>
      </c>
      <c r="J49" s="84">
        <f t="shared" si="4"/>
        <v>1.1699429637621841</v>
      </c>
      <c r="K49" s="84">
        <f>ROUNDDOWN(直径材積計算!X162,2)</f>
        <v>0.67</v>
      </c>
      <c r="L49" s="55">
        <f t="shared" si="7"/>
        <v>0</v>
      </c>
      <c r="M49" s="62">
        <f t="shared" si="8"/>
        <v>0</v>
      </c>
      <c r="N49" s="62">
        <f t="shared" si="6"/>
        <v>0</v>
      </c>
      <c r="O49" s="49">
        <f>直径材積計算!U162</f>
        <v>0</v>
      </c>
      <c r="P49" s="204">
        <f>直径材積計算!K46</f>
        <v>1799.9998688671092</v>
      </c>
      <c r="Q49" s="204">
        <f>VLOOKUP(G49,密度計算!A74:Q74,$AA$4,FALSE)</f>
        <v>568.40901526136122</v>
      </c>
      <c r="R49" s="49">
        <f>VLOOKUP(G49,密度計算!A74:Q74,$AA$5,FALSE)</f>
        <v>765.83336913964513</v>
      </c>
      <c r="S49" s="55">
        <f>直径材積計算!N162</f>
        <v>613.00436555367423</v>
      </c>
      <c r="T49" s="49">
        <f>直径材積計算!T162</f>
        <v>717.18014423502291</v>
      </c>
      <c r="U49" s="49">
        <f>直径材積計算!S162</f>
        <v>35.681861738537783</v>
      </c>
      <c r="V49" s="84">
        <f>直径材積計算!Y162</f>
        <v>0.67541371676842243</v>
      </c>
      <c r="W49" s="55" t="str">
        <f t="shared" si="9"/>
        <v/>
      </c>
      <c r="X49" s="55" t="e">
        <f t="shared" si="10"/>
        <v>#VALUE!</v>
      </c>
      <c r="Y49" s="153">
        <v>54</v>
      </c>
      <c r="Z49" s="191">
        <f t="shared" si="5"/>
        <v>0</v>
      </c>
    </row>
    <row r="50" spans="4:26">
      <c r="D50" s="48">
        <v>55</v>
      </c>
      <c r="E50" s="48">
        <f>IF(D50&lt;入力!$C$17,NA(),IF(D50&gt;入力!$H$48,NA(),D50))</f>
        <v>55</v>
      </c>
      <c r="F50" s="55">
        <f>IF(E50&gt;入力!$C$17,IF(S49&gt;=P49,P50,(F49-L49)*(1-$B$27)),IF(E50=入力!$C$17,入力!$C$18,NA()))</f>
        <v>613.00436555367423</v>
      </c>
      <c r="G50" s="49">
        <f>'樹高計算 '!N48</f>
        <v>26.393136822696903</v>
      </c>
      <c r="H50" s="49">
        <f>直径材積計算!L163</f>
        <v>729.71452716636975</v>
      </c>
      <c r="I50" s="49">
        <f>直径材積計算!I163</f>
        <v>35.845303961474485</v>
      </c>
      <c r="J50" s="84">
        <f t="shared" si="4"/>
        <v>1.1903904248826698</v>
      </c>
      <c r="K50" s="84">
        <f>ROUNDDOWN(直径材積計算!X163,2)</f>
        <v>0.67</v>
      </c>
      <c r="L50" s="55">
        <f t="shared" si="7"/>
        <v>0</v>
      </c>
      <c r="M50" s="62">
        <f t="shared" si="8"/>
        <v>0</v>
      </c>
      <c r="N50" s="62">
        <f t="shared" si="6"/>
        <v>0</v>
      </c>
      <c r="O50" s="49">
        <f>直径材積計算!U163</f>
        <v>0</v>
      </c>
      <c r="P50" s="204">
        <f>直径材積計算!K47</f>
        <v>1793.0435905621105</v>
      </c>
      <c r="Q50" s="204">
        <f>VLOOKUP(G50,密度計算!A75:Q75,$AA$4,FALSE)</f>
        <v>561.73546592191678</v>
      </c>
      <c r="R50" s="49">
        <f>VLOOKUP(G50,密度計算!A75:Q75,$AA$5,FALSE)</f>
        <v>756.84190940286317</v>
      </c>
      <c r="S50" s="55">
        <f>直径材積計算!N163</f>
        <v>613.00436555367423</v>
      </c>
      <c r="T50" s="49">
        <f>直径材積計算!T163</f>
        <v>729.71452716636975</v>
      </c>
      <c r="U50" s="49">
        <f>直径材積計算!S163</f>
        <v>35.845303961474485</v>
      </c>
      <c r="V50" s="84">
        <f>直径材積計算!Y163</f>
        <v>0.67938874735086574</v>
      </c>
      <c r="W50" s="55" t="str">
        <f t="shared" si="9"/>
        <v/>
      </c>
      <c r="X50" s="55" t="e">
        <f t="shared" si="10"/>
        <v>#VALUE!</v>
      </c>
      <c r="Y50" s="153">
        <v>55</v>
      </c>
      <c r="Z50" s="191">
        <f t="shared" si="5"/>
        <v>0</v>
      </c>
    </row>
    <row r="51" spans="4:26">
      <c r="D51" s="48">
        <v>56</v>
      </c>
      <c r="E51" s="48">
        <f>IF(D51&lt;入力!$C$17,NA(),IF(D51&gt;入力!$H$48,NA(),D51))</f>
        <v>56</v>
      </c>
      <c r="F51" s="55">
        <f>IF(E51&gt;入力!$C$17,IF(S50&gt;=P50,P51,(F50-L50)*(1-$B$27)),IF(E51=入力!$C$17,入力!$C$18,NA()))</f>
        <v>613.00436555367423</v>
      </c>
      <c r="G51" s="49">
        <f>'樹高計算 '!N49</f>
        <v>26.617303451534312</v>
      </c>
      <c r="H51" s="49">
        <f>直径材積計算!L164</f>
        <v>741.99011945252948</v>
      </c>
      <c r="I51" s="49">
        <f>直径材積計算!I164</f>
        <v>36.002986946747257</v>
      </c>
      <c r="J51" s="84">
        <f t="shared" si="4"/>
        <v>1.2104157182997441</v>
      </c>
      <c r="K51" s="84">
        <f>ROUNDDOWN(直径材積計算!X164,2)</f>
        <v>0.68</v>
      </c>
      <c r="L51" s="55">
        <f t="shared" si="7"/>
        <v>0</v>
      </c>
      <c r="M51" s="62">
        <f t="shared" si="8"/>
        <v>0</v>
      </c>
      <c r="N51" s="62">
        <f t="shared" si="6"/>
        <v>0</v>
      </c>
      <c r="O51" s="49">
        <f>直径材積計算!U164</f>
        <v>0</v>
      </c>
      <c r="P51" s="204">
        <f>直径材積計算!K48</f>
        <v>1786.303537022781</v>
      </c>
      <c r="Q51" s="204">
        <f>VLOOKUP(G51,密度計算!A76:Q76,$AA$4,FALSE)</f>
        <v>555.37143379436498</v>
      </c>
      <c r="R51" s="49">
        <f>VLOOKUP(G51,密度計算!A76:Q76,$AA$5,FALSE)</f>
        <v>748.26747086529906</v>
      </c>
      <c r="S51" s="55">
        <f>直径材積計算!N164</f>
        <v>613.00436555367423</v>
      </c>
      <c r="T51" s="49">
        <f>直径材積計算!T164</f>
        <v>741.99011945252948</v>
      </c>
      <c r="U51" s="49">
        <f>直径材積計算!S164</f>
        <v>36.002986946747257</v>
      </c>
      <c r="V51" s="84">
        <f>直径材積計算!Y164</f>
        <v>0.68322324716305838</v>
      </c>
      <c r="W51" s="55" t="str">
        <f t="shared" si="9"/>
        <v/>
      </c>
      <c r="X51" s="55" t="e">
        <f t="shared" si="10"/>
        <v>#VALUE!</v>
      </c>
      <c r="Y51" s="153">
        <v>56</v>
      </c>
      <c r="Z51" s="191">
        <f t="shared" si="5"/>
        <v>0</v>
      </c>
    </row>
    <row r="52" spans="4:26">
      <c r="D52" s="48">
        <v>57</v>
      </c>
      <c r="E52" s="48">
        <f>IF(D52&lt;入力!$C$17,NA(),IF(D52&gt;入力!$H$48,NA(),D52))</f>
        <v>57</v>
      </c>
      <c r="F52" s="55">
        <f>IF(E52&gt;入力!$C$17,IF(S51&gt;=P51,P52,(F51-L51)*(1-$B$27)),IF(E52=入力!$C$17,入力!$C$18,NA()))</f>
        <v>613.00436555367423</v>
      </c>
      <c r="G52" s="49">
        <f>'樹高計算 '!N50</f>
        <v>26.835438989018716</v>
      </c>
      <c r="H52" s="49">
        <f>直径材積計算!L165</f>
        <v>754.00916192158274</v>
      </c>
      <c r="I52" s="49">
        <f>直径材積計算!I165</f>
        <v>36.155154679865177</v>
      </c>
      <c r="J52" s="84">
        <f t="shared" si="4"/>
        <v>1.2300224994981088</v>
      </c>
      <c r="K52" s="84">
        <f>ROUNDDOWN(直径材積計算!X165,2)</f>
        <v>0.68</v>
      </c>
      <c r="L52" s="55">
        <f t="shared" si="7"/>
        <v>0</v>
      </c>
      <c r="M52" s="62">
        <f t="shared" si="8"/>
        <v>0</v>
      </c>
      <c r="N52" s="62">
        <f t="shared" si="6"/>
        <v>0</v>
      </c>
      <c r="O52" s="49">
        <f>直径材積計算!U165</f>
        <v>0</v>
      </c>
      <c r="P52" s="204">
        <f>直径材積計算!K49</f>
        <v>1779.7724468624328</v>
      </c>
      <c r="Q52" s="204">
        <f>VLOOKUP(G52,密度計算!A77:Q77,$AA$4,FALSE)</f>
        <v>549.2982407087793</v>
      </c>
      <c r="R52" s="49">
        <f>VLOOKUP(G52,密度計算!A77:Q77,$AA$5,FALSE)</f>
        <v>740.08488790603496</v>
      </c>
      <c r="S52" s="55">
        <f>直径材積計算!N165</f>
        <v>613.00436555367423</v>
      </c>
      <c r="T52" s="49">
        <f>直径材積計算!T165</f>
        <v>754.00916192158274</v>
      </c>
      <c r="U52" s="49">
        <f>直径材積計算!S165</f>
        <v>36.155154679865177</v>
      </c>
      <c r="V52" s="84">
        <f>直径材積計算!Y165</f>
        <v>0.68692308944650393</v>
      </c>
      <c r="W52" s="55" t="str">
        <f t="shared" si="9"/>
        <v/>
      </c>
      <c r="X52" s="55" t="e">
        <f t="shared" si="10"/>
        <v>#VALUE!</v>
      </c>
      <c r="Y52" s="153">
        <v>57</v>
      </c>
      <c r="Z52" s="191">
        <f t="shared" si="5"/>
        <v>0</v>
      </c>
    </row>
    <row r="53" spans="4:26">
      <c r="D53" s="48">
        <v>58</v>
      </c>
      <c r="E53" s="48">
        <f>IF(D53&lt;入力!$C$17,NA(),IF(D53&gt;入力!$H$48,NA(),D53))</f>
        <v>58</v>
      </c>
      <c r="F53" s="55">
        <f>IF(E53&gt;入力!$C$17,IF(S52&gt;=P52,P53,(F52-L52)*(1-$B$27)),IF(E53=入力!$C$17,入力!$C$18,NA()))</f>
        <v>613.00436555367423</v>
      </c>
      <c r="G53" s="49">
        <f>'樹高計算 '!N51</f>
        <v>27.047706650624068</v>
      </c>
      <c r="H53" s="49">
        <f>直径材積計算!L166</f>
        <v>765.77416252861701</v>
      </c>
      <c r="I53" s="49">
        <f>直径材積計算!I166</f>
        <v>36.302038625419563</v>
      </c>
      <c r="J53" s="84">
        <f t="shared" si="4"/>
        <v>1.2492148597293575</v>
      </c>
      <c r="K53" s="84">
        <f>ROUNDDOWN(直径材積計算!X166,2)</f>
        <v>0.69</v>
      </c>
      <c r="L53" s="55">
        <f t="shared" si="7"/>
        <v>0</v>
      </c>
      <c r="M53" s="62">
        <f t="shared" si="8"/>
        <v>0</v>
      </c>
      <c r="N53" s="62">
        <f t="shared" si="6"/>
        <v>0</v>
      </c>
      <c r="O53" s="49">
        <f>直径材積計算!U166</f>
        <v>0</v>
      </c>
      <c r="P53" s="204">
        <f>直径材積計算!K50</f>
        <v>1773.4432994474071</v>
      </c>
      <c r="Q53" s="204">
        <f>VLOOKUP(G53,密度計算!A78:Q78,$AA$4,FALSE)</f>
        <v>543.49863196049341</v>
      </c>
      <c r="R53" s="49">
        <f>VLOOKUP(G53,密度計算!A78:Q78,$AA$5,FALSE)</f>
        <v>732.2709127787241</v>
      </c>
      <c r="S53" s="55">
        <f>直径材積計算!N166</f>
        <v>613.00436555367423</v>
      </c>
      <c r="T53" s="49">
        <f>直径材積計算!T166</f>
        <v>765.77416252861701</v>
      </c>
      <c r="U53" s="49">
        <f>直径材積計算!S166</f>
        <v>36.302038625419563</v>
      </c>
      <c r="V53" s="84">
        <f>直径材積計算!Y166</f>
        <v>0.69049386049651496</v>
      </c>
      <c r="W53" s="55" t="str">
        <f t="shared" si="9"/>
        <v/>
      </c>
      <c r="X53" s="55" t="e">
        <f t="shared" si="10"/>
        <v>#VALUE!</v>
      </c>
      <c r="Y53" s="153">
        <v>58</v>
      </c>
      <c r="Z53" s="191">
        <f t="shared" si="5"/>
        <v>0</v>
      </c>
    </row>
    <row r="54" spans="4:26">
      <c r="D54" s="48">
        <v>59</v>
      </c>
      <c r="E54" s="48">
        <f>IF(D54&lt;入力!$C$17,NA(),IF(D54&gt;入力!$H$48,NA(),D54))</f>
        <v>59</v>
      </c>
      <c r="F54" s="55">
        <f>IF(E54&gt;入力!$C$17,IF(S53&gt;=P53,P54,(F53-L53)*(1-$B$27)),IF(E54=入力!$C$17,入力!$C$18,NA()))</f>
        <v>613.00436555367423</v>
      </c>
      <c r="G54" s="49">
        <f>'樹高計算 '!N52</f>
        <v>27.25426557773557</v>
      </c>
      <c r="H54" s="49">
        <f>直径材積計算!L167</f>
        <v>777.28786344757305</v>
      </c>
      <c r="I54" s="49">
        <f>直径材積計算!I167</f>
        <v>36.443858465031724</v>
      </c>
      <c r="J54" s="84">
        <f t="shared" si="4"/>
        <v>1.2679972723285839</v>
      </c>
      <c r="K54" s="84">
        <f>ROUNDDOWN(直径材積計算!X167,2)</f>
        <v>0.69</v>
      </c>
      <c r="L54" s="55">
        <f t="shared" si="7"/>
        <v>0</v>
      </c>
      <c r="M54" s="62">
        <f t="shared" si="8"/>
        <v>0</v>
      </c>
      <c r="N54" s="62">
        <f t="shared" si="6"/>
        <v>0</v>
      </c>
      <c r="O54" s="49">
        <f>直径材積計算!U167</f>
        <v>0</v>
      </c>
      <c r="P54" s="204">
        <f>直径材積計算!K51</f>
        <v>1767.3093112530271</v>
      </c>
      <c r="Q54" s="204">
        <f>VLOOKUP(G54,密度計算!A79:Q79,$AA$4,FALSE)</f>
        <v>537.95664610769131</v>
      </c>
      <c r="R54" s="49">
        <f>VLOOKUP(G54,密度計算!A79:Q79,$AA$5,FALSE)</f>
        <v>724.8040401862404</v>
      </c>
      <c r="S54" s="55">
        <f>直径材積計算!N167</f>
        <v>613.00436555367423</v>
      </c>
      <c r="T54" s="49">
        <f>直径材積計算!T167</f>
        <v>777.28786344757305</v>
      </c>
      <c r="U54" s="49">
        <f>直径材積計算!S167</f>
        <v>36.443858465031724</v>
      </c>
      <c r="V54" s="84">
        <f>直径材積計算!Y167</f>
        <v>0.69394087472672206</v>
      </c>
      <c r="W54" s="55" t="str">
        <f t="shared" si="9"/>
        <v/>
      </c>
      <c r="X54" s="55" t="e">
        <f t="shared" si="10"/>
        <v>#VALUE!</v>
      </c>
      <c r="Y54" s="153">
        <v>59</v>
      </c>
      <c r="Z54" s="191">
        <f t="shared" si="5"/>
        <v>0</v>
      </c>
    </row>
    <row r="55" spans="4:26">
      <c r="D55" s="48">
        <v>60</v>
      </c>
      <c r="E55" s="48">
        <f>IF(D55&lt;入力!$C$17,NA(),IF(D55&gt;入力!$H$48,NA(),D55))</f>
        <v>60</v>
      </c>
      <c r="F55" s="55">
        <f>IF(E55&gt;入力!$C$17,IF(S54&gt;=P54,P55,(F54-L54)*(1-$B$27)),IF(E55=入力!$C$17,入力!$C$18,NA()))</f>
        <v>613.00436555367423</v>
      </c>
      <c r="G55" s="49">
        <f>'樹高計算 '!N53</f>
        <v>27.455270862155562</v>
      </c>
      <c r="H55" s="49">
        <f>直径材積計算!L168</f>
        <v>788.55321116412358</v>
      </c>
      <c r="I55" s="49">
        <f>直径材積計算!I168</f>
        <v>36.580822789173901</v>
      </c>
      <c r="J55" s="84">
        <f t="shared" si="4"/>
        <v>1.2863745439266019</v>
      </c>
      <c r="K55" s="84">
        <f>ROUNDDOWN(直径材積計算!X168,2)</f>
        <v>0.69</v>
      </c>
      <c r="L55" s="55">
        <f t="shared" si="7"/>
        <v>0</v>
      </c>
      <c r="M55" s="62">
        <f t="shared" si="8"/>
        <v>0</v>
      </c>
      <c r="N55" s="62">
        <f t="shared" si="6"/>
        <v>0</v>
      </c>
      <c r="O55" s="49">
        <f>直径材積計算!U168</f>
        <v>0</v>
      </c>
      <c r="P55" s="204">
        <f>直径材積計算!K52</f>
        <v>1761.3639314195639</v>
      </c>
      <c r="Q55" s="204">
        <f>VLOOKUP(G55,密度計算!A80:Q80,$AA$4,FALSE)</f>
        <v>532.65749853617001</v>
      </c>
      <c r="R55" s="49">
        <f>VLOOKUP(G55,密度計算!A80:Q80,$AA$5,FALSE)</f>
        <v>717.66435040422607</v>
      </c>
      <c r="S55" s="55">
        <f>直径材積計算!N168</f>
        <v>613.00436555367423</v>
      </c>
      <c r="T55" s="49">
        <f>直径材積計算!T168</f>
        <v>788.55321116412358</v>
      </c>
      <c r="U55" s="49">
        <f>直径材積計算!S168</f>
        <v>36.580822789173901</v>
      </c>
      <c r="V55" s="84">
        <f>直径材積計算!Y168</f>
        <v>0.69726918902764656</v>
      </c>
      <c r="W55" s="55" t="str">
        <f t="shared" si="9"/>
        <v/>
      </c>
      <c r="X55" s="55" t="e">
        <f t="shared" si="10"/>
        <v>#VALUE!</v>
      </c>
      <c r="Y55" s="153">
        <v>60</v>
      </c>
      <c r="Z55" s="191">
        <f t="shared" si="5"/>
        <v>0</v>
      </c>
    </row>
    <row r="56" spans="4:26">
      <c r="D56" s="48">
        <v>61</v>
      </c>
      <c r="E56" s="48">
        <f>IF(D56&lt;入力!$C$17,NA(),IF(D56&gt;入力!$H$48,NA(),D56))</f>
        <v>61</v>
      </c>
      <c r="F56" s="55">
        <f>IF(E56&gt;入力!$C$17,IF(S55&gt;=P55,P56,(F55-L55)*(1-$B$27)),IF(E56=入力!$C$17,入力!$C$18,NA()))</f>
        <v>613.00436555367423</v>
      </c>
      <c r="G56" s="49">
        <f>'樹高計算 '!N54</f>
        <v>27.650873583197519</v>
      </c>
      <c r="H56" s="49">
        <f>直径材積計算!L169</f>
        <v>799.57332933358043</v>
      </c>
      <c r="I56" s="49">
        <f>直径材積計算!I169</f>
        <v>36.713129745720913</v>
      </c>
      <c r="J56" s="84">
        <f t="shared" si="4"/>
        <v>1.3043517701727858</v>
      </c>
      <c r="K56" s="84">
        <f>ROUNDDOWN(直径材積計算!X169,2)</f>
        <v>0.7</v>
      </c>
      <c r="L56" s="55">
        <f t="shared" si="7"/>
        <v>0</v>
      </c>
      <c r="M56" s="62">
        <f t="shared" si="8"/>
        <v>0</v>
      </c>
      <c r="N56" s="62">
        <f t="shared" si="6"/>
        <v>0</v>
      </c>
      <c r="O56" s="49">
        <f>直径材積計算!U169</f>
        <v>0</v>
      </c>
      <c r="P56" s="204">
        <f>直径材積計算!K53</f>
        <v>1755.6008366735552</v>
      </c>
      <c r="Q56" s="204">
        <f>VLOOKUP(G56,密度計算!A81:Q81,$AA$4,FALSE)</f>
        <v>527.5874771431362</v>
      </c>
      <c r="R56" s="49">
        <f>VLOOKUP(G56,密度計算!A81:Q81,$AA$5,FALSE)</f>
        <v>710.83336873295229</v>
      </c>
      <c r="S56" s="55">
        <f>直径材積計算!N169</f>
        <v>613.00436555367423</v>
      </c>
      <c r="T56" s="49">
        <f>直径材積計算!T169</f>
        <v>799.57332933358043</v>
      </c>
      <c r="U56" s="49">
        <f>直径材積計算!S169</f>
        <v>36.713129745720913</v>
      </c>
      <c r="V56" s="84">
        <f>直径材積計算!Y169</f>
        <v>0.70048361643059642</v>
      </c>
      <c r="W56" s="55" t="str">
        <f t="shared" si="9"/>
        <v/>
      </c>
      <c r="X56" s="55" t="e">
        <f t="shared" si="10"/>
        <v>#VALUE!</v>
      </c>
      <c r="Y56" s="153">
        <v>61</v>
      </c>
      <c r="Z56" s="191">
        <f t="shared" si="5"/>
        <v>0</v>
      </c>
    </row>
    <row r="57" spans="4:26">
      <c r="D57" s="48">
        <v>62</v>
      </c>
      <c r="E57" s="48">
        <f>IF(D57&lt;入力!$C$17,NA(),IF(D57&gt;入力!$H$48,NA(),D57))</f>
        <v>62</v>
      </c>
      <c r="F57" s="55">
        <f>IF(E57&gt;入力!$C$17,IF(S56&gt;=P56,P57,(F56-L56)*(1-$B$27)),IF(E57=入力!$C$17,入力!$C$18,NA()))</f>
        <v>613.00436555367423</v>
      </c>
      <c r="G57" s="49">
        <f>'樹高計算 '!N55</f>
        <v>27.841220855483183</v>
      </c>
      <c r="H57" s="49">
        <f>直径材積計算!L170</f>
        <v>810.35149417979665</v>
      </c>
      <c r="I57" s="49">
        <f>直径材積計算!I170</f>
        <v>36.840967647911427</v>
      </c>
      <c r="J57" s="84">
        <f t="shared" si="4"/>
        <v>1.3219342956030593</v>
      </c>
      <c r="K57" s="84">
        <f>ROUNDDOWN(直径材積計算!X170,2)</f>
        <v>0.7</v>
      </c>
      <c r="L57" s="55">
        <f t="shared" si="7"/>
        <v>0</v>
      </c>
      <c r="M57" s="62">
        <f t="shared" si="8"/>
        <v>0</v>
      </c>
      <c r="N57" s="62">
        <f t="shared" si="6"/>
        <v>0</v>
      </c>
      <c r="O57" s="49">
        <f>直径材積計算!U170</f>
        <v>0</v>
      </c>
      <c r="P57" s="204">
        <f>直径材積計算!K54</f>
        <v>1750.0139257566989</v>
      </c>
      <c r="Q57" s="204">
        <f>VLOOKUP(G57,密度計算!A82:Q82,$AA$4,FALSE)</f>
        <v>522.73384871278415</v>
      </c>
      <c r="R57" s="49">
        <f>VLOOKUP(G57,密度計算!A82:Q82,$AA$5,FALSE)</f>
        <v>704.29393935451549</v>
      </c>
      <c r="S57" s="55">
        <f>直径材積計算!N170</f>
        <v>613.00436555367423</v>
      </c>
      <c r="T57" s="49">
        <f>直径材積計算!T170</f>
        <v>810.35149417979665</v>
      </c>
      <c r="U57" s="49">
        <f>直径材積計算!S170</f>
        <v>36.840967647911427</v>
      </c>
      <c r="V57" s="84">
        <f>直径材積計算!Y170</f>
        <v>0.7035887390919684</v>
      </c>
      <c r="W57" s="55" t="str">
        <f t="shared" si="9"/>
        <v/>
      </c>
      <c r="X57" s="55" t="e">
        <f t="shared" si="10"/>
        <v>#VALUE!</v>
      </c>
      <c r="Y57" s="153">
        <v>62</v>
      </c>
      <c r="Z57" s="191">
        <f t="shared" si="5"/>
        <v>0</v>
      </c>
    </row>
    <row r="58" spans="4:26">
      <c r="D58" s="48">
        <v>63</v>
      </c>
      <c r="E58" s="48">
        <f>IF(D58&lt;入力!$C$17,NA(),IF(D58&gt;入力!$H$48,NA(),D58))</f>
        <v>63</v>
      </c>
      <c r="F58" s="55">
        <f>IF(E58&gt;入力!$C$17,IF(S57&gt;=P57,P58,(F57-L57)*(1-$B$27)),IF(E58=入力!$C$17,入力!$C$18,NA()))</f>
        <v>613.00436555367423</v>
      </c>
      <c r="G58" s="49">
        <f>'樹高計算 '!N56</f>
        <v>28.026455885730172</v>
      </c>
      <c r="H58" s="49">
        <f>直径材積計算!L171</f>
        <v>820.89111222383553</v>
      </c>
      <c r="I58" s="49">
        <f>直径材積計算!I171</f>
        <v>36.964515544235169</v>
      </c>
      <c r="J58" s="84">
        <f t="shared" si="4"/>
        <v>1.3391276773084562</v>
      </c>
      <c r="K58" s="84">
        <f>ROUNDDOWN(直径材積計算!X171,2)</f>
        <v>0.7</v>
      </c>
      <c r="L58" s="55">
        <f t="shared" si="7"/>
        <v>0</v>
      </c>
      <c r="M58" s="62">
        <f t="shared" si="8"/>
        <v>0</v>
      </c>
      <c r="N58" s="62">
        <f t="shared" si="6"/>
        <v>0</v>
      </c>
      <c r="O58" s="49">
        <f>直径材積計算!U171</f>
        <v>0</v>
      </c>
      <c r="P58" s="204">
        <f>直径材積計算!K55</f>
        <v>1744.5973134840822</v>
      </c>
      <c r="Q58" s="204">
        <f>VLOOKUP(G58,密度計算!A83:Q83,$AA$4,FALSE)</f>
        <v>518.08477474442986</v>
      </c>
      <c r="R58" s="49">
        <f>VLOOKUP(G58,密度計算!A83:Q83,$AA$5,FALSE)</f>
        <v>698.03011192572808</v>
      </c>
      <c r="S58" s="55">
        <f>直径材積計算!N171</f>
        <v>613.00436555367423</v>
      </c>
      <c r="T58" s="49">
        <f>直径材積計算!T171</f>
        <v>820.89111222383553</v>
      </c>
      <c r="U58" s="49">
        <f>直径材積計算!S171</f>
        <v>36.964515544235169</v>
      </c>
      <c r="V58" s="84">
        <f>直径材積計算!Y171</f>
        <v>0.70658892061609324</v>
      </c>
      <c r="W58" s="55" t="str">
        <f t="shared" si="9"/>
        <v/>
      </c>
      <c r="X58" s="55" t="e">
        <f t="shared" si="10"/>
        <v>#VALUE!</v>
      </c>
      <c r="Y58" s="153">
        <v>63</v>
      </c>
      <c r="Z58" s="191">
        <f t="shared" si="5"/>
        <v>0</v>
      </c>
    </row>
    <row r="59" spans="4:26">
      <c r="D59" s="48">
        <v>64</v>
      </c>
      <c r="E59" s="48">
        <f>IF(D59&lt;入力!$C$17,NA(),IF(D59&gt;入力!$H$48,NA(),D59))</f>
        <v>64</v>
      </c>
      <c r="F59" s="55">
        <f>IF(E59&gt;入力!$C$17,IF(S58&gt;=P58,P59,(F58-L58)*(1-$B$27)),IF(E59=入力!$C$17,入力!$C$18,NA()))</f>
        <v>613.00436555367423</v>
      </c>
      <c r="G59" s="49">
        <f>'樹高計算 '!N57</f>
        <v>28.206718036985855</v>
      </c>
      <c r="H59" s="49">
        <f>直径材積計算!L172</f>
        <v>831.19570014437591</v>
      </c>
      <c r="I59" s="49">
        <f>直径材積計算!I172</f>
        <v>37.083943752612889</v>
      </c>
      <c r="J59" s="84">
        <f t="shared" si="4"/>
        <v>1.3559376520812021</v>
      </c>
      <c r="K59" s="84">
        <f>ROUNDDOWN(直径材積計算!X172,2)</f>
        <v>0.7</v>
      </c>
      <c r="L59" s="55">
        <f t="shared" si="7"/>
        <v>0</v>
      </c>
      <c r="M59" s="62">
        <f t="shared" si="8"/>
        <v>0</v>
      </c>
      <c r="N59" s="62">
        <f t="shared" si="6"/>
        <v>0</v>
      </c>
      <c r="O59" s="49">
        <f>直径材積計算!U172</f>
        <v>0</v>
      </c>
      <c r="P59" s="204">
        <f>直径材積計算!K56</f>
        <v>1739.3453245355065</v>
      </c>
      <c r="Q59" s="204">
        <f>VLOOKUP(G59,密度計算!A84:Q84,$AA$4,FALSE)</f>
        <v>513.62923565451035</v>
      </c>
      <c r="R59" s="49">
        <f>VLOOKUP(G59,密度計算!A84:Q84,$AA$5,FALSE)</f>
        <v>692.02703945335099</v>
      </c>
      <c r="S59" s="55">
        <f>直径材積計算!N172</f>
        <v>613.00436555367423</v>
      </c>
      <c r="T59" s="49">
        <f>直径材積計算!T172</f>
        <v>831.19570014437591</v>
      </c>
      <c r="U59" s="49">
        <f>直径材積計算!S172</f>
        <v>37.083943752612889</v>
      </c>
      <c r="V59" s="84">
        <f>直径材積計算!Y172</f>
        <v>0.70948831773714205</v>
      </c>
      <c r="W59" s="55" t="str">
        <f t="shared" si="9"/>
        <v/>
      </c>
      <c r="X59" s="55" t="e">
        <f t="shared" si="10"/>
        <v>#VALUE!</v>
      </c>
      <c r="Y59" s="153">
        <v>64</v>
      </c>
      <c r="Z59" s="191">
        <f t="shared" si="5"/>
        <v>0</v>
      </c>
    </row>
    <row r="60" spans="4:26">
      <c r="D60" s="48">
        <v>65</v>
      </c>
      <c r="E60" s="48">
        <f>IF(D60&lt;入力!$C$17,NA(),IF(D60&gt;入力!$H$48,NA(),D60))</f>
        <v>65</v>
      </c>
      <c r="F60" s="55">
        <f>IF(E60&gt;入力!$C$17,IF(S59&gt;=P59,P60,(F59-L59)*(1-$B$27)),IF(E60=入力!$C$17,入力!$C$18,NA()))</f>
        <v>613.00436555367423</v>
      </c>
      <c r="G60" s="49">
        <f>'樹高計算 '!N58</f>
        <v>28.382142898926077</v>
      </c>
      <c r="H60" s="49">
        <f>直径材積計算!L173</f>
        <v>841.26886658523256</v>
      </c>
      <c r="I60" s="49">
        <f>直径材積計算!I173</f>
        <v>37.19941436109827</v>
      </c>
      <c r="J60" s="84">
        <f t="shared" si="4"/>
        <v>1.3723701067371463</v>
      </c>
      <c r="K60" s="84">
        <f>ROUNDDOWN(直径材積計算!X173,2)</f>
        <v>0.71</v>
      </c>
      <c r="L60" s="55">
        <f t="shared" si="7"/>
        <v>0</v>
      </c>
      <c r="M60" s="62">
        <f t="shared" si="8"/>
        <v>0</v>
      </c>
      <c r="N60" s="62">
        <f t="shared" si="6"/>
        <v>0</v>
      </c>
      <c r="O60" s="49">
        <f>直径材積計算!U173</f>
        <v>0</v>
      </c>
      <c r="P60" s="204">
        <f>直径材積計算!K57</f>
        <v>1734.252487067806</v>
      </c>
      <c r="Q60" s="204">
        <f>VLOOKUP(G60,密度計算!A85:Q85,$AA$4,FALSE)</f>
        <v>509.35696241121485</v>
      </c>
      <c r="R60" s="49">
        <f>VLOOKUP(G60,密度計算!A85:Q85,$AA$5,FALSE)</f>
        <v>686.27088618351991</v>
      </c>
      <c r="S60" s="55">
        <f>直径材積計算!N173</f>
        <v>613.00436555367423</v>
      </c>
      <c r="T60" s="49">
        <f>直径材積計算!T173</f>
        <v>841.26886658523256</v>
      </c>
      <c r="U60" s="49">
        <f>直径材積計算!S173</f>
        <v>37.19941436109827</v>
      </c>
      <c r="V60" s="84">
        <f>直径材積計算!Y173</f>
        <v>0.7122908913824274</v>
      </c>
      <c r="W60" s="55" t="str">
        <f t="shared" si="9"/>
        <v/>
      </c>
      <c r="X60" s="55" t="e">
        <f t="shared" si="10"/>
        <v>#VALUE!</v>
      </c>
      <c r="Y60" s="153">
        <v>65</v>
      </c>
      <c r="Z60" s="191">
        <f t="shared" si="5"/>
        <v>0</v>
      </c>
    </row>
    <row r="61" spans="4:26">
      <c r="D61" s="48">
        <v>66</v>
      </c>
      <c r="E61" s="48">
        <f>IF(D61&lt;入力!$C$17,NA(),IF(D61&gt;入力!$H$48,NA(),D61))</f>
        <v>66</v>
      </c>
      <c r="F61" s="55">
        <f>IF(E61&gt;入力!$C$17,IF(S60&gt;=P60,P61,(F60-L60)*(1-$B$27)),IF(E61=入力!$C$17,入力!$C$18,NA()))</f>
        <v>613.00436555367423</v>
      </c>
      <c r="G61" s="49">
        <f>'樹高計算 '!N59</f>
        <v>28.552862362990862</v>
      </c>
      <c r="H61" s="49">
        <f>直径材積計算!L174</f>
        <v>851.1142957385191</v>
      </c>
      <c r="I61" s="49">
        <f>直径材積計算!I174</f>
        <v>37.311081697200123</v>
      </c>
      <c r="J61" s="84">
        <f t="shared" si="4"/>
        <v>1.3884310513348148</v>
      </c>
      <c r="K61" s="84">
        <f>ROUNDDOWN(直径材積計算!X174,2)</f>
        <v>0.71</v>
      </c>
      <c r="L61" s="55">
        <f t="shared" si="7"/>
        <v>0</v>
      </c>
      <c r="M61" s="62">
        <f t="shared" si="8"/>
        <v>0</v>
      </c>
      <c r="N61" s="62">
        <f t="shared" si="6"/>
        <v>0</v>
      </c>
      <c r="O61" s="49">
        <f>直径材積計算!U174</f>
        <v>0</v>
      </c>
      <c r="P61" s="204">
        <f>直径材積計算!K58</f>
        <v>1729.3135262222409</v>
      </c>
      <c r="Q61" s="204">
        <f>VLOOKUP(G61,密度計算!A86:Q86,$AA$4,FALSE)</f>
        <v>505.25837477857749</v>
      </c>
      <c r="R61" s="49">
        <f>VLOOKUP(G61,密度計算!A86:Q86,$AA$5,FALSE)</f>
        <v>680.74874439628331</v>
      </c>
      <c r="S61" s="55">
        <f>直径材積計算!N174</f>
        <v>613.00436555367423</v>
      </c>
      <c r="T61" s="49">
        <f>直径材積計算!T174</f>
        <v>851.1142957385191</v>
      </c>
      <c r="U61" s="49">
        <f>直径材積計算!S174</f>
        <v>37.311081697200123</v>
      </c>
      <c r="V61" s="84">
        <f>直径材積計算!Y174</f>
        <v>0.71500041714071005</v>
      </c>
      <c r="W61" s="55" t="str">
        <f t="shared" si="9"/>
        <v/>
      </c>
      <c r="X61" s="55" t="e">
        <f t="shared" si="10"/>
        <v>#VALUE!</v>
      </c>
      <c r="Y61" s="153">
        <v>66</v>
      </c>
      <c r="Z61" s="191">
        <f t="shared" si="5"/>
        <v>0</v>
      </c>
    </row>
    <row r="62" spans="4:26">
      <c r="D62" s="48">
        <v>67</v>
      </c>
      <c r="E62" s="48">
        <f>IF(D62&lt;入力!$C$17,NA(),IF(D62&gt;入力!$H$48,NA(),D62))</f>
        <v>67</v>
      </c>
      <c r="F62" s="55">
        <f>IF(E62&gt;入力!$C$17,IF(S61&gt;=P61,P62,(F61-L61)*(1-$B$27)),IF(E62=入力!$C$17,入力!$C$18,NA()))</f>
        <v>613.00436555367423</v>
      </c>
      <c r="G62" s="49">
        <f>'樹高計算 '!N60</f>
        <v>28.719004701274081</v>
      </c>
      <c r="H62" s="49">
        <f>直径材積計算!L175</f>
        <v>860.73573254497035</v>
      </c>
      <c r="I62" s="49">
        <f>直径材積計算!I175</f>
        <v>37.419092767803114</v>
      </c>
      <c r="J62" s="84">
        <f t="shared" si="4"/>
        <v>1.4041265950325519</v>
      </c>
      <c r="K62" s="84">
        <f>ROUNDDOWN(直径材積計算!X175,2)</f>
        <v>0.71</v>
      </c>
      <c r="L62" s="55">
        <f t="shared" si="7"/>
        <v>0</v>
      </c>
      <c r="M62" s="62">
        <f t="shared" si="8"/>
        <v>0</v>
      </c>
      <c r="N62" s="62">
        <f t="shared" si="6"/>
        <v>0</v>
      </c>
      <c r="O62" s="49">
        <f>直径材積計算!U175</f>
        <v>0</v>
      </c>
      <c r="P62" s="204">
        <f>直径材積計算!K59</f>
        <v>1724.5233575889124</v>
      </c>
      <c r="Q62" s="204">
        <f>VLOOKUP(G62,密度計算!A87:Q87,$AA$4,FALSE)</f>
        <v>501.32452544848962</v>
      </c>
      <c r="R62" s="49">
        <f>VLOOKUP(G62,密度計算!A87:Q87,$AA$5,FALSE)</f>
        <v>675.44855913309971</v>
      </c>
      <c r="S62" s="55">
        <f>直径材積計算!N175</f>
        <v>613.00436555367423</v>
      </c>
      <c r="T62" s="49">
        <f>直径材積計算!T175</f>
        <v>860.73573254497035</v>
      </c>
      <c r="U62" s="49">
        <f>直径材積計算!S175</f>
        <v>37.419092767803114</v>
      </c>
      <c r="V62" s="84">
        <f>直径材積計算!Y175</f>
        <v>0.71762049515999071</v>
      </c>
      <c r="W62" s="55" t="str">
        <f t="shared" si="9"/>
        <v/>
      </c>
      <c r="X62" s="55" t="e">
        <f t="shared" si="10"/>
        <v>#VALUE!</v>
      </c>
      <c r="Y62" s="153">
        <v>67</v>
      </c>
      <c r="Z62" s="191">
        <f t="shared" si="5"/>
        <v>0</v>
      </c>
    </row>
    <row r="63" spans="4:26">
      <c r="D63" s="48">
        <v>68</v>
      </c>
      <c r="E63" s="48">
        <f>IF(D63&lt;入力!$C$17,NA(),IF(D63&gt;入力!$H$48,NA(),D63))</f>
        <v>68</v>
      </c>
      <c r="F63" s="55">
        <f>IF(E63&gt;入力!$C$17,IF(S62&gt;=P62,P63,(F62-L62)*(1-$B$27)),IF(E63=入力!$C$17,入力!$C$18,NA()))</f>
        <v>613.00436555367423</v>
      </c>
      <c r="G63" s="49">
        <f>'樹高計算 '!N61</f>
        <v>28.880694648217556</v>
      </c>
      <c r="H63" s="49">
        <f>直径材積計算!L176</f>
        <v>870.13696936532108</v>
      </c>
      <c r="I63" s="49">
        <f>直径材積計算!I176</f>
        <v>37.523587671548988</v>
      </c>
      <c r="J63" s="84">
        <f t="shared" si="4"/>
        <v>1.41946292434541</v>
      </c>
      <c r="K63" s="84">
        <f>ROUNDDOWN(直径材積計算!X176,2)</f>
        <v>0.72</v>
      </c>
      <c r="L63" s="55">
        <f t="shared" si="7"/>
        <v>0</v>
      </c>
      <c r="M63" s="62">
        <f t="shared" si="8"/>
        <v>0</v>
      </c>
      <c r="N63" s="62">
        <f t="shared" si="6"/>
        <v>0</v>
      </c>
      <c r="O63" s="49">
        <f>直径材積計算!U176</f>
        <v>0</v>
      </c>
      <c r="P63" s="204">
        <f>直径材積計算!K60</f>
        <v>1719.8770806796765</v>
      </c>
      <c r="Q63" s="204">
        <f>VLOOKUP(G63,密度計算!A88:Q88,$AA$4,FALSE)</f>
        <v>497.54704942684901</v>
      </c>
      <c r="R63" s="49">
        <f>VLOOKUP(G63,密度計算!A88:Q88,$AA$5,FALSE)</f>
        <v>670.35906000338059</v>
      </c>
      <c r="S63" s="55">
        <f>直径材積計算!N176</f>
        <v>613.00436555367423</v>
      </c>
      <c r="T63" s="49">
        <f>直径材積計算!T176</f>
        <v>870.13696936532108</v>
      </c>
      <c r="U63" s="49">
        <f>直径材積計算!S176</f>
        <v>37.523587671548988</v>
      </c>
      <c r="V63" s="84">
        <f>直径材積計算!Y176</f>
        <v>0.72015455949974994</v>
      </c>
      <c r="W63" s="55" t="str">
        <f t="shared" si="9"/>
        <v/>
      </c>
      <c r="X63" s="55" t="e">
        <f t="shared" si="10"/>
        <v>#VALUE!</v>
      </c>
      <c r="Y63" s="153">
        <v>68</v>
      </c>
      <c r="Z63" s="191">
        <f t="shared" si="5"/>
        <v>0</v>
      </c>
    </row>
    <row r="64" spans="4:26">
      <c r="D64" s="48">
        <v>69</v>
      </c>
      <c r="E64" s="48">
        <f>IF(D64&lt;入力!$C$17,NA(),IF(D64&gt;入力!$H$48,NA(),D64))</f>
        <v>69</v>
      </c>
      <c r="F64" s="55">
        <f>IF(E64&gt;入力!$C$17,IF(S63&gt;=P63,P64,(F63-L63)*(1-$B$27)),IF(E64=入力!$C$17,入力!$C$18,NA()))</f>
        <v>613.00436555367423</v>
      </c>
      <c r="G64" s="49">
        <f>'樹高計算 '!N62</f>
        <v>29.038053484283193</v>
      </c>
      <c r="H64" s="49">
        <f>直径材積計算!L177</f>
        <v>879.32183398856603</v>
      </c>
      <c r="I64" s="49">
        <f>直径材積計算!I177</f>
        <v>37.624699985432009</v>
      </c>
      <c r="J64" s="84">
        <f t="shared" si="4"/>
        <v>1.4344462835829075</v>
      </c>
      <c r="K64" s="84">
        <f>ROUNDDOWN(直径材積計算!X177,2)</f>
        <v>0.72</v>
      </c>
      <c r="L64" s="55">
        <f t="shared" si="7"/>
        <v>0</v>
      </c>
      <c r="M64" s="62">
        <f t="shared" si="8"/>
        <v>0</v>
      </c>
      <c r="N64" s="62">
        <f t="shared" si="6"/>
        <v>0</v>
      </c>
      <c r="O64" s="49">
        <f>直径材積計算!U177</f>
        <v>0</v>
      </c>
      <c r="P64" s="204">
        <f>直径材積計算!K61</f>
        <v>1715.3699724518976</v>
      </c>
      <c r="Q64" s="204">
        <f>VLOOKUP(G64,密度計算!A89:Q89,$AA$4,FALSE)</f>
        <v>493.9181181160173</v>
      </c>
      <c r="R64" s="49">
        <f>VLOOKUP(G64,密度計算!A89:Q89,$AA$5,FALSE)</f>
        <v>665.46969931849992</v>
      </c>
      <c r="S64" s="55">
        <f>直径材積計算!N177</f>
        <v>613.00436555367423</v>
      </c>
      <c r="T64" s="49">
        <f>直径材積計算!T177</f>
        <v>879.32183398856603</v>
      </c>
      <c r="U64" s="49">
        <f>直径材積計算!S177</f>
        <v>37.624699985432009</v>
      </c>
      <c r="V64" s="84">
        <f>直径材積計算!Y177</f>
        <v>0.72260588696276662</v>
      </c>
      <c r="W64" s="55" t="str">
        <f t="shared" si="9"/>
        <v/>
      </c>
      <c r="X64" s="55" t="e">
        <f t="shared" si="10"/>
        <v>#VALUE!</v>
      </c>
      <c r="Y64" s="153">
        <v>69</v>
      </c>
      <c r="Z64" s="191">
        <f t="shared" si="5"/>
        <v>0</v>
      </c>
    </row>
    <row r="65" spans="4:26">
      <c r="D65" s="48">
        <v>70</v>
      </c>
      <c r="E65" s="48">
        <f>IF(D65&lt;入力!$C$17,NA(),IF(D65&gt;入力!$H$48,NA(),D65))</f>
        <v>70</v>
      </c>
      <c r="F65" s="55">
        <f>IF(E65&gt;入力!$C$17,IF(S64&gt;=P64,P65,(F64-L64)*(1-$B$27)),IF(E65=入力!$C$17,入力!$C$18,NA()))</f>
        <v>613.00436555367423</v>
      </c>
      <c r="G65" s="49">
        <f>'樹高計算 '!N63</f>
        <v>29.191199120888513</v>
      </c>
      <c r="H65" s="49">
        <f>直径材積計算!L178</f>
        <v>888.29417885413932</v>
      </c>
      <c r="I65" s="49">
        <f>直径材積計算!I178</f>
        <v>37.722557127258767</v>
      </c>
      <c r="J65" s="84">
        <f t="shared" si="4"/>
        <v>1.4490829572670652</v>
      </c>
      <c r="K65" s="84">
        <f>ROUNDDOWN(直径材積計算!X178,2)</f>
        <v>0.72</v>
      </c>
      <c r="L65" s="55">
        <f t="shared" si="7"/>
        <v>0</v>
      </c>
      <c r="M65" s="62">
        <f t="shared" si="8"/>
        <v>0</v>
      </c>
      <c r="N65" s="62">
        <f t="shared" si="6"/>
        <v>0</v>
      </c>
      <c r="O65" s="49">
        <f>直径材積計算!U178</f>
        <v>0</v>
      </c>
      <c r="P65" s="204">
        <f>直径材積計算!K62</f>
        <v>1710.997480917549</v>
      </c>
      <c r="Q65" s="204">
        <f>VLOOKUP(G65,密度計算!A90:Q90,$AA$4,FALSE)</f>
        <v>490.43039760163356</v>
      </c>
      <c r="R65" s="49">
        <f>VLOOKUP(G65,密度計算!A90:Q90,$AA$5,FALSE)</f>
        <v>660.77059589045211</v>
      </c>
      <c r="S65" s="55">
        <f>直径材積計算!N178</f>
        <v>613.00436555367423</v>
      </c>
      <c r="T65" s="49">
        <f>直径材積計算!T178</f>
        <v>888.29417885413932</v>
      </c>
      <c r="U65" s="49">
        <f>直径材積計算!S178</f>
        <v>37.722557127258767</v>
      </c>
      <c r="V65" s="84">
        <f>直径材積計算!Y178</f>
        <v>0.72497760543156542</v>
      </c>
      <c r="W65" s="55" t="str">
        <f t="shared" si="9"/>
        <v/>
      </c>
      <c r="X65" s="55" t="e">
        <f t="shared" si="10"/>
        <v>#VALUE!</v>
      </c>
      <c r="Y65" s="153">
        <v>70</v>
      </c>
      <c r="Z65" s="191">
        <f t="shared" si="5"/>
        <v>0</v>
      </c>
    </row>
    <row r="66" spans="4:26">
      <c r="D66" s="48">
        <v>71</v>
      </c>
      <c r="E66" s="48">
        <f>IF(D66&lt;入力!$C$17,NA(),IF(D66&gt;入力!$H$48,NA(),D66))</f>
        <v>71</v>
      </c>
      <c r="F66" s="55">
        <f>IF(E66&gt;入力!$C$17,IF(S65&gt;=P65,P66,(F65-L65)*(1-$B$27)),IF(E66=入力!$C$17,入力!$C$18,NA()))</f>
        <v>613.00436555367423</v>
      </c>
      <c r="G66" s="49">
        <f>'樹高計算 '!N64</f>
        <v>29.340246185992296</v>
      </c>
      <c r="H66" s="49">
        <f>直径材積計算!L179</f>
        <v>897.05787137563289</v>
      </c>
      <c r="I66" s="49">
        <f>直径材積計算!I179</f>
        <v>37.817280695524111</v>
      </c>
      <c r="J66" s="84">
        <f t="shared" si="4"/>
        <v>1.4633792543473936</v>
      </c>
      <c r="K66" s="84">
        <f>ROUNDDOWN(直径材積計算!X179,2)</f>
        <v>0.72</v>
      </c>
      <c r="L66" s="55">
        <f t="shared" si="7"/>
        <v>0</v>
      </c>
      <c r="M66" s="62">
        <f t="shared" si="8"/>
        <v>0</v>
      </c>
      <c r="N66" s="62">
        <f t="shared" si="6"/>
        <v>0</v>
      </c>
      <c r="O66" s="49">
        <f>直径材積計算!U179</f>
        <v>0</v>
      </c>
      <c r="P66" s="204">
        <f>直径材積計算!K63</f>
        <v>1706.7552188653935</v>
      </c>
      <c r="Q66" s="204">
        <f>VLOOKUP(G66,密度計算!A91:Q91,$AA$4,FALSE)</f>
        <v>487.07701070913998</v>
      </c>
      <c r="R66" s="49">
        <f>VLOOKUP(G66,密度計算!A91:Q91,$AA$5,FALSE)</f>
        <v>656.25248390954664</v>
      </c>
      <c r="S66" s="55">
        <f>直径材積計算!N179</f>
        <v>613.00436555367423</v>
      </c>
      <c r="T66" s="49">
        <f>直径材積計算!T179</f>
        <v>897.05787137563289</v>
      </c>
      <c r="U66" s="49">
        <f>直径材積計算!S179</f>
        <v>37.817280695524111</v>
      </c>
      <c r="V66" s="84">
        <f>直径材積計算!Y179</f>
        <v>0.72727270173423064</v>
      </c>
      <c r="W66" s="55" t="str">
        <f t="shared" si="9"/>
        <v/>
      </c>
      <c r="X66" s="55" t="e">
        <f t="shared" si="10"/>
        <v>#VALUE!</v>
      </c>
      <c r="Y66" s="153">
        <v>71</v>
      </c>
      <c r="Z66" s="191">
        <f t="shared" si="5"/>
        <v>0</v>
      </c>
    </row>
    <row r="67" spans="4:26">
      <c r="D67" s="48">
        <v>72</v>
      </c>
      <c r="E67" s="48">
        <f>IF(D67&lt;入力!$C$17,NA(),IF(D67&gt;入力!$H$48,NA(),D67))</f>
        <v>72</v>
      </c>
      <c r="F67" s="55">
        <f>IF(E67&gt;入力!$C$17,IF(S66&gt;=P66,P67,(F66-L66)*(1-$B$27)),IF(E67=入力!$C$17,入力!$C$18,NA()))</f>
        <v>613.00436555367423</v>
      </c>
      <c r="G67" s="49">
        <f>'樹高計算 '!N65</f>
        <v>29.485306109807635</v>
      </c>
      <c r="H67" s="49">
        <f>直径材積計算!L180</f>
        <v>905.61678526350647</v>
      </c>
      <c r="I67" s="49">
        <f>直径材積計算!I180</f>
        <v>37.908986788160831</v>
      </c>
      <c r="J67" s="84">
        <f t="shared" si="4"/>
        <v>1.4773414940455449</v>
      </c>
      <c r="K67" s="84">
        <f>ROUNDDOWN(直径材積計算!X180,2)</f>
        <v>0.72</v>
      </c>
      <c r="L67" s="55">
        <f t="shared" si="7"/>
        <v>0</v>
      </c>
      <c r="M67" s="62">
        <f t="shared" si="8"/>
        <v>0</v>
      </c>
      <c r="N67" s="62">
        <f t="shared" si="6"/>
        <v>0</v>
      </c>
      <c r="O67" s="49">
        <f>直径材積計算!U180</f>
        <v>0</v>
      </c>
      <c r="P67" s="204">
        <f>直径材積計算!K64</f>
        <v>1702.6389577182183</v>
      </c>
      <c r="Q67" s="204">
        <f>VLOOKUP(G67,密度計算!A92:Q92,$AA$4,FALSE)</f>
        <v>483.85150244531758</v>
      </c>
      <c r="R67" s="49">
        <f>VLOOKUP(G67,密度計算!A92:Q92,$AA$5,FALSE)</f>
        <v>651.90666638282232</v>
      </c>
      <c r="S67" s="55">
        <f>直径材積計算!N180</f>
        <v>613.00436555367423</v>
      </c>
      <c r="T67" s="49">
        <f>直径材積計算!T180</f>
        <v>905.61678526350647</v>
      </c>
      <c r="U67" s="49">
        <f>直径材積計算!S180</f>
        <v>37.908986788160831</v>
      </c>
      <c r="V67" s="84">
        <f>直径材積計算!Y180</f>
        <v>0.72949402906385252</v>
      </c>
      <c r="W67" s="55" t="str">
        <f t="shared" si="9"/>
        <v/>
      </c>
      <c r="X67" s="55" t="e">
        <f t="shared" si="10"/>
        <v>#VALUE!</v>
      </c>
      <c r="Y67" s="153">
        <v>72</v>
      </c>
      <c r="Z67" s="191">
        <f t="shared" si="5"/>
        <v>0</v>
      </c>
    </row>
    <row r="68" spans="4:26">
      <c r="D68" s="48">
        <v>73</v>
      </c>
      <c r="E68" s="48">
        <f>IF(D68&lt;入力!$C$17,NA(),IF(D68&gt;入力!$H$48,NA(),D68))</f>
        <v>73</v>
      </c>
      <c r="F68" s="55">
        <f>IF(E68&gt;入力!$C$17,IF(S67&gt;=P67,P68,(F67-L67)*(1-$B$27)),IF(E68=入力!$C$17,入力!$C$18,NA()))</f>
        <v>613.00436555367423</v>
      </c>
      <c r="G68" s="49">
        <f>'樹高計算 '!N66</f>
        <v>29.62648721020097</v>
      </c>
      <c r="H68" s="49">
        <f>直径材積計算!L181</f>
        <v>913.97479275343824</v>
      </c>
      <c r="I68" s="49">
        <f>直径材積計算!I181</f>
        <v>37.997786301533026</v>
      </c>
      <c r="J68" s="84">
        <f t="shared" si="4"/>
        <v>1.4909759931773459</v>
      </c>
      <c r="K68" s="84">
        <f>ROUNDDOWN(直径材積計算!X181,2)</f>
        <v>0.73</v>
      </c>
      <c r="L68" s="55">
        <f t="shared" si="7"/>
        <v>0</v>
      </c>
      <c r="M68" s="62">
        <f t="shared" si="8"/>
        <v>0</v>
      </c>
      <c r="N68" s="62">
        <f t="shared" si="6"/>
        <v>0</v>
      </c>
      <c r="O68" s="49">
        <f>直径材積計算!U181</f>
        <v>0</v>
      </c>
      <c r="P68" s="204">
        <f>直径材積計算!K65</f>
        <v>1698.644621542132</v>
      </c>
      <c r="Q68" s="204">
        <f>VLOOKUP(G68,密度計算!A93:Q93,$AA$4,FALSE)</f>
        <v>480.74780848372296</v>
      </c>
      <c r="R68" s="49">
        <f>VLOOKUP(G68,密度計算!A93:Q93,$AA$5,FALSE)</f>
        <v>647.72497267359529</v>
      </c>
      <c r="S68" s="55">
        <f>直径材積計算!N181</f>
        <v>613.00436555367423</v>
      </c>
      <c r="T68" s="49">
        <f>直径材積計算!T181</f>
        <v>913.97479275343824</v>
      </c>
      <c r="U68" s="49">
        <f>直径材積計算!S181</f>
        <v>37.997786301533026</v>
      </c>
      <c r="V68" s="84">
        <f>直径材積計算!Y181</f>
        <v>0.73164431397525254</v>
      </c>
      <c r="W68" s="55" t="str">
        <f t="shared" si="9"/>
        <v/>
      </c>
      <c r="X68" s="55" t="e">
        <f t="shared" si="10"/>
        <v>#VALUE!</v>
      </c>
      <c r="Y68" s="153">
        <v>73</v>
      </c>
      <c r="Z68" s="191">
        <f t="shared" si="5"/>
        <v>0</v>
      </c>
    </row>
    <row r="69" spans="4:26">
      <c r="D69" s="48">
        <v>74</v>
      </c>
      <c r="E69" s="48">
        <f>IF(D69&lt;入力!$C$17,NA(),IF(D69&gt;入力!$H$48,NA(),D69))</f>
        <v>74</v>
      </c>
      <c r="F69" s="55">
        <f>IF(E69&gt;入力!$C$17,IF(S68&gt;=P68,P69,(F68-L68)*(1-$B$27)),IF(E69=入力!$C$17,入力!$C$18,NA()))</f>
        <v>613.00436555367423</v>
      </c>
      <c r="G69" s="49">
        <f>'樹高計算 '!N67</f>
        <v>29.763894777407348</v>
      </c>
      <c r="H69" s="49">
        <f>直径材積計算!L182</f>
        <v>922.13575765539815</v>
      </c>
      <c r="I69" s="49">
        <f>直径材積計算!I182</f>
        <v>38.083785210957402</v>
      </c>
      <c r="J69" s="84">
        <f t="shared" si="4"/>
        <v>1.5042890548136831</v>
      </c>
      <c r="K69" s="84">
        <f>ROUNDDOWN(直径材積計算!X182,2)</f>
        <v>0.73</v>
      </c>
      <c r="L69" s="55">
        <f t="shared" ref="L69:L100" si="11">IF(F69-R69&lt;0,0,ROUNDUP(F69-Q69,-1))</f>
        <v>0</v>
      </c>
      <c r="M69" s="62">
        <f t="shared" ref="M69:M100" si="12">L69/F69</f>
        <v>0</v>
      </c>
      <c r="N69" s="62">
        <f t="shared" si="6"/>
        <v>0</v>
      </c>
      <c r="O69" s="49">
        <f>直径材積計算!U182</f>
        <v>0</v>
      </c>
      <c r="P69" s="204">
        <f>直径材積計算!K66</f>
        <v>1694.7682812207734</v>
      </c>
      <c r="Q69" s="204">
        <f>VLOOKUP(G69,密度計算!A94:Q94,$AA$4,FALSE)</f>
        <v>477.76022639110533</v>
      </c>
      <c r="R69" s="49">
        <f>VLOOKUP(G69,密度計算!A94:Q94,$AA$5,FALSE)</f>
        <v>643.6997197340047</v>
      </c>
      <c r="S69" s="55">
        <f>直径材積計算!N182</f>
        <v>613.00436555367423</v>
      </c>
      <c r="T69" s="49">
        <f>直径材積計算!T182</f>
        <v>922.13575765539815</v>
      </c>
      <c r="U69" s="49">
        <f>直径材積計算!S182</f>
        <v>38.083785210957402</v>
      </c>
      <c r="V69" s="84">
        <f>直径材積計算!Y182</f>
        <v>0.73372616298191784</v>
      </c>
      <c r="W69" s="55" t="str">
        <f t="shared" ref="W69:W100" si="13">IF(N69=0,"",D69)</f>
        <v/>
      </c>
      <c r="X69" s="55" t="e">
        <f t="shared" ref="X69" si="14">RANK(W69,$W$5:$W$115,1)</f>
        <v>#VALUE!</v>
      </c>
      <c r="Y69" s="153">
        <v>74</v>
      </c>
      <c r="Z69" s="191">
        <f t="shared" si="5"/>
        <v>0</v>
      </c>
    </row>
    <row r="70" spans="4:26">
      <c r="D70" s="48">
        <v>75</v>
      </c>
      <c r="E70" s="48">
        <f>IF(D70&lt;入力!$C$17,NA(),IF(D70&gt;入力!$H$48,NA(),D70))</f>
        <v>75</v>
      </c>
      <c r="F70" s="55">
        <f>IF(E70&gt;入力!$C$17,IF(S69&gt;=P69,P70,(F69-L69)*(1-$B$27)),IF(E70=入力!$C$17,入力!$C$18,NA()))</f>
        <v>613.00436555367423</v>
      </c>
      <c r="G70" s="49">
        <f>'樹高計算 '!N68</f>
        <v>29.897631157755349</v>
      </c>
      <c r="H70" s="49">
        <f>直径材積計算!L183</f>
        <v>930.10352914632563</v>
      </c>
      <c r="I70" s="49">
        <f>直径材積計算!I183</f>
        <v>38.167084833956942</v>
      </c>
      <c r="J70" s="84">
        <f t="shared" ref="J70:J115" si="15">H70/F70</f>
        <v>1.5172869581544381</v>
      </c>
      <c r="K70" s="84">
        <f>ROUNDDOWN(直径材積計算!X183,2)</f>
        <v>0.73</v>
      </c>
      <c r="L70" s="55">
        <f t="shared" si="11"/>
        <v>0</v>
      </c>
      <c r="M70" s="62">
        <f t="shared" si="12"/>
        <v>0</v>
      </c>
      <c r="N70" s="62">
        <f t="shared" si="6"/>
        <v>0</v>
      </c>
      <c r="O70" s="49">
        <f>直径材積計算!U183</f>
        <v>0</v>
      </c>
      <c r="P70" s="204">
        <f>直径材積計算!K67</f>
        <v>1691.0061488037268</v>
      </c>
      <c r="Q70" s="204">
        <f>VLOOKUP(G70,密度計算!A95:Q95,$AA$4,FALSE)</f>
        <v>474.88338932534242</v>
      </c>
      <c r="R70" s="49">
        <f>VLOOKUP(G70,密度計算!A95:Q95,$AA$5,FALSE)</f>
        <v>639.82367666750622</v>
      </c>
      <c r="S70" s="55">
        <f>直径材積計算!N183</f>
        <v>613.00436555367423</v>
      </c>
      <c r="T70" s="49">
        <f>直径材積計算!T183</f>
        <v>930.10352914632563</v>
      </c>
      <c r="U70" s="49">
        <f>直径材積計算!S183</f>
        <v>38.167084833956942</v>
      </c>
      <c r="V70" s="84">
        <f>直径材積計算!Y183</f>
        <v>0.73574206877526271</v>
      </c>
      <c r="W70" s="55" t="str">
        <f t="shared" si="13"/>
        <v/>
      </c>
      <c r="X70" s="55" t="e">
        <f t="shared" ref="X70:X115" si="16">RANK(W70,$W$5:$W$115,1)</f>
        <v>#VALUE!</v>
      </c>
      <c r="Y70" s="153">
        <v>75</v>
      </c>
      <c r="Z70" s="191">
        <f t="shared" ref="Z70:Z115" si="17">N70</f>
        <v>0</v>
      </c>
    </row>
    <row r="71" spans="4:26">
      <c r="D71" s="48">
        <v>76</v>
      </c>
      <c r="E71" s="48">
        <f>IF(D71&lt;入力!$C$17,NA(),IF(D71&gt;入力!$H$48,NA(),D71))</f>
        <v>76</v>
      </c>
      <c r="F71" s="55">
        <f>IF(E71&gt;入力!$C$17,IF(S70&gt;=P70,P71,(F70-L70)*(1-$B$27)),IF(E71=入力!$C$17,入力!$C$18,NA()))</f>
        <v>613.00436555367423</v>
      </c>
      <c r="G71" s="49">
        <f>'樹高計算 '!N69</f>
        <v>30.027795836151071</v>
      </c>
      <c r="H71" s="49">
        <f>直径材積計算!L184</f>
        <v>937.88193623645282</v>
      </c>
      <c r="I71" s="49">
        <f>直径材積計算!I184</f>
        <v>38.247782077375518</v>
      </c>
      <c r="J71" s="84">
        <f t="shared" si="15"/>
        <v>1.5299759495013459</v>
      </c>
      <c r="K71" s="84">
        <f>ROUNDDOWN(直径材積計算!X184,2)</f>
        <v>0.73</v>
      </c>
      <c r="L71" s="55">
        <f t="shared" si="11"/>
        <v>0</v>
      </c>
      <c r="M71" s="62">
        <f t="shared" si="12"/>
        <v>0</v>
      </c>
      <c r="N71" s="62">
        <f t="shared" ref="N71:N115" si="18">SUMIF(M71,"&lt;&gt;#N/A")</f>
        <v>0</v>
      </c>
      <c r="O71" s="49">
        <f>直径材積計算!U184</f>
        <v>0</v>
      </c>
      <c r="P71" s="204">
        <f>直径材積計算!K68</f>
        <v>1687.3545720354739</v>
      </c>
      <c r="Q71" s="204">
        <f>VLOOKUP(G71,密度計算!A96:Q96,$AA$4,FALSE)</f>
        <v>472.11224196483471</v>
      </c>
      <c r="R71" s="49">
        <f>VLOOKUP(G71,密度計算!A96:Q96,$AA$5,FALSE)</f>
        <v>636.09003229787163</v>
      </c>
      <c r="S71" s="55">
        <f>直径材積計算!N184</f>
        <v>613.00436555367423</v>
      </c>
      <c r="T71" s="49">
        <f>直径材積計算!T184</f>
        <v>937.88193623645282</v>
      </c>
      <c r="U71" s="49">
        <f>直径材積計算!S184</f>
        <v>38.247782077375518</v>
      </c>
      <c r="V71" s="84">
        <f>直径材積計算!Y184</f>
        <v>0.73769441608748665</v>
      </c>
      <c r="W71" s="55" t="str">
        <f t="shared" si="13"/>
        <v/>
      </c>
      <c r="X71" s="55" t="e">
        <f t="shared" si="16"/>
        <v>#VALUE!</v>
      </c>
      <c r="Y71" s="153">
        <v>76</v>
      </c>
      <c r="Z71" s="191">
        <f t="shared" si="17"/>
        <v>0</v>
      </c>
    </row>
    <row r="72" spans="4:26">
      <c r="D72" s="48">
        <v>77</v>
      </c>
      <c r="E72" s="48">
        <f>IF(D72&lt;入力!$C$17,NA(),IF(D72&gt;入力!$H$48,NA(),D72))</f>
        <v>77</v>
      </c>
      <c r="F72" s="55">
        <f>IF(E72&gt;入力!$C$17,IF(S71&gt;=P71,P72,(F71-L71)*(1-$B$27)),IF(E72=入力!$C$17,入力!$C$18,NA()))</f>
        <v>613.00436555367423</v>
      </c>
      <c r="G72" s="49">
        <f>'樹高計算 '!N70</f>
        <v>30.154485517118435</v>
      </c>
      <c r="H72" s="49">
        <f>直径材積計算!L185</f>
        <v>945.47478284583337</v>
      </c>
      <c r="I72" s="49">
        <f>直径材積計算!I185</f>
        <v>38.325969669409659</v>
      </c>
      <c r="J72" s="84">
        <f t="shared" si="15"/>
        <v>1.5423622342262884</v>
      </c>
      <c r="K72" s="84">
        <f>ROUNDDOWN(直径材積計算!X185,2)</f>
        <v>0.73</v>
      </c>
      <c r="L72" s="55">
        <f t="shared" si="11"/>
        <v>0</v>
      </c>
      <c r="M72" s="62">
        <f t="shared" si="12"/>
        <v>0</v>
      </c>
      <c r="N72" s="62">
        <f t="shared" si="18"/>
        <v>0</v>
      </c>
      <c r="O72" s="49">
        <f>直径材積計算!U185</f>
        <v>0</v>
      </c>
      <c r="P72" s="204">
        <f>直径材積計算!K69</f>
        <v>1683.8100290687141</v>
      </c>
      <c r="Q72" s="204">
        <f>VLOOKUP(G72,密度計算!A97:Q97,$AA$4,FALSE)</f>
        <v>469.44201845518211</v>
      </c>
      <c r="R72" s="49">
        <f>VLOOKUP(G72,密度計算!A97:Q97,$AA$5,FALSE)</f>
        <v>632.49236545612951</v>
      </c>
      <c r="S72" s="55">
        <f>直径材積計算!N185</f>
        <v>613.00436555367423</v>
      </c>
      <c r="T72" s="49">
        <f>直径材積計算!T185</f>
        <v>945.47478284583337</v>
      </c>
      <c r="U72" s="49">
        <f>直径材積計算!S185</f>
        <v>38.325969669409659</v>
      </c>
      <c r="V72" s="84">
        <f>直径材積計算!Y185</f>
        <v>0.73958548721838546</v>
      </c>
      <c r="W72" s="55" t="str">
        <f t="shared" si="13"/>
        <v/>
      </c>
      <c r="X72" s="55" t="e">
        <f t="shared" si="16"/>
        <v>#VALUE!</v>
      </c>
      <c r="Y72" s="153">
        <v>77</v>
      </c>
      <c r="Z72" s="191">
        <f t="shared" si="17"/>
        <v>0</v>
      </c>
    </row>
    <row r="73" spans="4:26">
      <c r="D73" s="48">
        <v>78</v>
      </c>
      <c r="E73" s="48">
        <f>IF(D73&lt;入力!$C$17,NA(),IF(D73&gt;入力!$H$48,NA(),D73))</f>
        <v>78</v>
      </c>
      <c r="F73" s="55">
        <f>IF(E73&gt;入力!$C$17,IF(S72&gt;=P72,P73,(F72-L72)*(1-$B$27)),IF(E73=入力!$C$17,入力!$C$18,NA()))</f>
        <v>613.00436555367423</v>
      </c>
      <c r="G73" s="49">
        <f>'樹高計算 '!N71</f>
        <v>30.277794204235548</v>
      </c>
      <c r="H73" s="49">
        <f>直径材積計算!L186</f>
        <v>952.88584343362413</v>
      </c>
      <c r="I73" s="49">
        <f>直径材積計算!I186</f>
        <v>38.401736377546001</v>
      </c>
      <c r="J73" s="84">
        <f t="shared" si="15"/>
        <v>1.5544519696412995</v>
      </c>
      <c r="K73" s="84">
        <f>ROUNDDOWN(直径材積計算!X186,2)</f>
        <v>0.74</v>
      </c>
      <c r="L73" s="55">
        <f t="shared" si="11"/>
        <v>0</v>
      </c>
      <c r="M73" s="62">
        <f t="shared" si="12"/>
        <v>0</v>
      </c>
      <c r="N73" s="62">
        <f t="shared" si="18"/>
        <v>0</v>
      </c>
      <c r="O73" s="49">
        <f>直径材積計算!U186</f>
        <v>0</v>
      </c>
      <c r="P73" s="204">
        <f>直径材積計算!K70</f>
        <v>1680.3691233638381</v>
      </c>
      <c r="Q73" s="204">
        <f>VLOOKUP(G73,密度計算!A98:Q98,$AA$4,FALSE)</f>
        <v>466.86822218177161</v>
      </c>
      <c r="R73" s="49">
        <f>VLOOKUP(G73,密度計算!A98:Q98,$AA$5,FALSE)</f>
        <v>629.0246177276058</v>
      </c>
      <c r="S73" s="55">
        <f>直径材積計算!N186</f>
        <v>613.00436555367423</v>
      </c>
      <c r="T73" s="49">
        <f>直径材積計算!T186</f>
        <v>952.88584343362413</v>
      </c>
      <c r="U73" s="49">
        <f>直径材積計算!S186</f>
        <v>38.401736377546001</v>
      </c>
      <c r="V73" s="84">
        <f>直径材積計算!Y186</f>
        <v>0.74141746724557056</v>
      </c>
      <c r="W73" s="55" t="str">
        <f t="shared" si="13"/>
        <v/>
      </c>
      <c r="X73" s="55" t="e">
        <f t="shared" si="16"/>
        <v>#VALUE!</v>
      </c>
      <c r="Y73" s="153">
        <v>78</v>
      </c>
      <c r="Z73" s="191">
        <f t="shared" si="17"/>
        <v>0</v>
      </c>
    </row>
    <row r="74" spans="4:26">
      <c r="D74" s="48">
        <v>79</v>
      </c>
      <c r="E74" s="48">
        <f>IF(D74&lt;入力!$C$17,NA(),IF(D74&gt;入力!$H$48,NA(),D74))</f>
        <v>79</v>
      </c>
      <c r="F74" s="55">
        <f>IF(E74&gt;入力!$C$17,IF(S73&gt;=P73,P74,(F73-L73)*(1-$B$27)),IF(E74=入力!$C$17,入力!$C$18,NA()))</f>
        <v>613.00436555367423</v>
      </c>
      <c r="G74" s="49">
        <f>'樹高計算 '!N72</f>
        <v>30.397813277842882</v>
      </c>
      <c r="H74" s="49">
        <f>直径材積計算!L187</f>
        <v>960.11885912805951</v>
      </c>
      <c r="I74" s="49">
        <f>直径材積計算!I187</f>
        <v>38.475167213327971</v>
      </c>
      <c r="J74" s="84">
        <f t="shared" si="15"/>
        <v>1.5662512586853545</v>
      </c>
      <c r="K74" s="84">
        <f>ROUNDDOWN(直径材積計算!X187,2)</f>
        <v>0.74</v>
      </c>
      <c r="L74" s="55">
        <f t="shared" si="11"/>
        <v>0</v>
      </c>
      <c r="M74" s="62">
        <f t="shared" si="12"/>
        <v>0</v>
      </c>
      <c r="N74" s="62">
        <f t="shared" si="18"/>
        <v>0</v>
      </c>
      <c r="O74" s="49">
        <f>直径材積計算!U187</f>
        <v>0</v>
      </c>
      <c r="P74" s="204">
        <f>直径材積計算!K71</f>
        <v>1677.0285787746329</v>
      </c>
      <c r="Q74" s="204">
        <f>VLOOKUP(G74,密度計算!A99:Q99,$AA$4,FALSE)</f>
        <v>464.38660719706172</v>
      </c>
      <c r="R74" s="49">
        <f>VLOOKUP(G74,密度計算!A99:Q99,$AA$5,FALSE)</f>
        <v>625.68106842838506</v>
      </c>
      <c r="S74" s="55">
        <f>直径材積計算!N187</f>
        <v>613.00436555367423</v>
      </c>
      <c r="T74" s="49">
        <f>直径材積計算!T187</f>
        <v>960.11885912805951</v>
      </c>
      <c r="U74" s="49">
        <f>直径材積計算!S187</f>
        <v>38.475167213327971</v>
      </c>
      <c r="V74" s="84">
        <f>直径材積計算!Y187</f>
        <v>0.74319244893660497</v>
      </c>
      <c r="W74" s="55" t="str">
        <f t="shared" si="13"/>
        <v/>
      </c>
      <c r="X74" s="55" t="e">
        <f t="shared" si="16"/>
        <v>#VALUE!</v>
      </c>
      <c r="Y74" s="153">
        <v>79</v>
      </c>
      <c r="Z74" s="191">
        <f t="shared" si="17"/>
        <v>0</v>
      </c>
    </row>
    <row r="75" spans="4:26">
      <c r="D75" s="48">
        <v>80</v>
      </c>
      <c r="E75" s="48">
        <f>IF(D75&lt;入力!$C$17,NA(),IF(D75&gt;入力!$H$48,NA(),D75))</f>
        <v>80</v>
      </c>
      <c r="F75" s="55">
        <f>IF(E75&gt;入力!$C$17,IF(S74&gt;=P74,P75,(F74-L74)*(1-$B$27)),IF(E75=入力!$C$17,入力!$C$18,NA()))</f>
        <v>613.00436555367423</v>
      </c>
      <c r="G75" s="49">
        <f>'樹高計算 '!N73</f>
        <v>30.514631570930302</v>
      </c>
      <c r="H75" s="49">
        <f>直径材積計算!L188</f>
        <v>967.17753431004644</v>
      </c>
      <c r="I75" s="49">
        <f>直径材積計算!I188</f>
        <v>38.546343624815997</v>
      </c>
      <c r="J75" s="84">
        <f t="shared" si="15"/>
        <v>1.5777661443511548</v>
      </c>
      <c r="K75" s="84">
        <f>ROUNDDOWN(直径材積計算!X188,2)</f>
        <v>0.74</v>
      </c>
      <c r="L75" s="55">
        <f t="shared" si="11"/>
        <v>0</v>
      </c>
      <c r="M75" s="62">
        <f t="shared" si="12"/>
        <v>0</v>
      </c>
      <c r="N75" s="62">
        <f t="shared" si="18"/>
        <v>0</v>
      </c>
      <c r="O75" s="49">
        <f>直径材積計算!U188</f>
        <v>0</v>
      </c>
      <c r="P75" s="204">
        <f>直径材積計算!K72</f>
        <v>1673.7852348188915</v>
      </c>
      <c r="Q75" s="204">
        <f>VLOOKUP(G75,密度計算!A100:Q100,$AA$4,FALSE)</f>
        <v>461.99316114915405</v>
      </c>
      <c r="R75" s="49">
        <f>VLOOKUP(G75,密度計算!A100:Q100,$AA$5,FALSE)</f>
        <v>622.45631160449784</v>
      </c>
      <c r="S75" s="55">
        <f>直径材積計算!N188</f>
        <v>613.00436555367423</v>
      </c>
      <c r="T75" s="49">
        <f>直径材積計算!T188</f>
        <v>967.17753431004644</v>
      </c>
      <c r="U75" s="49">
        <f>直径材積計算!S188</f>
        <v>38.546343624815997</v>
      </c>
      <c r="V75" s="84">
        <f>直径材積計算!Y188</f>
        <v>0.74491243738065582</v>
      </c>
      <c r="W75" s="55" t="str">
        <f t="shared" si="13"/>
        <v/>
      </c>
      <c r="X75" s="55" t="e">
        <f t="shared" si="16"/>
        <v>#VALUE!</v>
      </c>
      <c r="Y75" s="153">
        <v>80</v>
      </c>
      <c r="Z75" s="191">
        <f t="shared" si="17"/>
        <v>0</v>
      </c>
    </row>
    <row r="76" spans="4:26">
      <c r="D76" s="48">
        <v>81</v>
      </c>
      <c r="E76" s="48">
        <f>IF(D76&lt;入力!$C$17,NA(),IF(D76&gt;入力!$H$48,NA(),D76))</f>
        <v>81</v>
      </c>
      <c r="F76" s="55">
        <f>IF(E76&gt;入力!$C$17,IF(S75&gt;=P75,P76,(F75-L75)*(1-$B$27)),IF(E76=入力!$C$17,入力!$C$18,NA()))</f>
        <v>613.00436555367423</v>
      </c>
      <c r="G76" s="49">
        <f>'樹高計算 '!N74</f>
        <v>30.628335443136372</v>
      </c>
      <c r="H76" s="49">
        <f>直径材積計算!L189</f>
        <v>974.06553360770101</v>
      </c>
      <c r="I76" s="49">
        <f>直径材積計算!I189</f>
        <v>38.615343677546612</v>
      </c>
      <c r="J76" s="84">
        <f t="shared" si="15"/>
        <v>1.5890026047822861</v>
      </c>
      <c r="K76" s="84">
        <f>ROUNDDOWN(直径材積計算!X189,2)</f>
        <v>0.74</v>
      </c>
      <c r="L76" s="55">
        <f t="shared" si="11"/>
        <v>0</v>
      </c>
      <c r="M76" s="62">
        <f t="shared" si="12"/>
        <v>0</v>
      </c>
      <c r="N76" s="62">
        <f t="shared" si="18"/>
        <v>0</v>
      </c>
      <c r="O76" s="49">
        <f>直径材積計算!U189</f>
        <v>0</v>
      </c>
      <c r="P76" s="204">
        <f>直径材積計算!K73</f>
        <v>1670.6360421315167</v>
      </c>
      <c r="Q76" s="204">
        <f>VLOOKUP(G76,密度計算!A101:Q101,$AA$4,FALSE)</f>
        <v>459.68408957404944</v>
      </c>
      <c r="R76" s="49">
        <f>VLOOKUP(G76,密度計算!A101:Q101,$AA$5,FALSE)</f>
        <v>619.34523486843693</v>
      </c>
      <c r="S76" s="55">
        <f>直径材積計算!N189</f>
        <v>613.00436555367423</v>
      </c>
      <c r="T76" s="49">
        <f>直径材積計算!T189</f>
        <v>974.06553360770101</v>
      </c>
      <c r="U76" s="49">
        <f>直径材積計算!S189</f>
        <v>38.615343677546612</v>
      </c>
      <c r="V76" s="84">
        <f>直径材積計算!Y189</f>
        <v>0.74657935435632816</v>
      </c>
      <c r="W76" s="55" t="str">
        <f t="shared" si="13"/>
        <v/>
      </c>
      <c r="X76" s="55" t="e">
        <f t="shared" si="16"/>
        <v>#VALUE!</v>
      </c>
      <c r="Y76" s="153">
        <v>81</v>
      </c>
      <c r="Z76" s="191">
        <f t="shared" si="17"/>
        <v>0</v>
      </c>
    </row>
    <row r="77" spans="4:26">
      <c r="D77" s="48">
        <v>82</v>
      </c>
      <c r="E77" s="48">
        <f>IF(D77&lt;入力!$C$17,NA(),IF(D77&gt;入力!$H$48,NA(),D77))</f>
        <v>82</v>
      </c>
      <c r="F77" s="55">
        <f>IF(E77&gt;入力!$C$17,IF(S76&gt;=P76,P77,(F76-L76)*(1-$B$27)),IF(E77=入力!$C$17,入力!$C$18,NA()))</f>
        <v>613.00436555367423</v>
      </c>
      <c r="G77" s="49">
        <f>'樹高計算 '!N75</f>
        <v>30.739008852816088</v>
      </c>
      <c r="H77" s="49">
        <f>直径材積計算!L190</f>
        <v>980.786479263263</v>
      </c>
      <c r="I77" s="49">
        <f>直径材積計算!I190</f>
        <v>38.682242224743952</v>
      </c>
      <c r="J77" s="84">
        <f t="shared" si="15"/>
        <v>1.599966548977841</v>
      </c>
      <c r="K77" s="84">
        <f>ROUNDDOWN(直径材積計算!X190,2)</f>
        <v>0.74</v>
      </c>
      <c r="L77" s="55">
        <f t="shared" si="11"/>
        <v>0</v>
      </c>
      <c r="M77" s="62">
        <f t="shared" si="12"/>
        <v>0</v>
      </c>
      <c r="N77" s="62">
        <f t="shared" si="18"/>
        <v>0</v>
      </c>
      <c r="O77" s="49">
        <f>直径材積計算!U190</f>
        <v>0</v>
      </c>
      <c r="P77" s="204">
        <f>直径材積計算!K74</f>
        <v>1667.5780580967696</v>
      </c>
      <c r="Q77" s="204">
        <f>VLOOKUP(G77,密度計算!A102:Q102,$AA$4,FALSE)</f>
        <v>457.45580142797286</v>
      </c>
      <c r="R77" s="49">
        <f>VLOOKUP(G77,密度計算!A102:Q102,$AA$5,FALSE)</f>
        <v>616.34299990645422</v>
      </c>
      <c r="S77" s="55">
        <f>直径材積計算!N190</f>
        <v>613.00436555367423</v>
      </c>
      <c r="T77" s="49">
        <f>直径材積計算!T190</f>
        <v>980.786479263263</v>
      </c>
      <c r="U77" s="49">
        <f>直径材積計算!S190</f>
        <v>38.682242224743952</v>
      </c>
      <c r="V77" s="84">
        <f>直径材積計算!Y190</f>
        <v>0.74819504245147095</v>
      </c>
      <c r="W77" s="55" t="str">
        <f t="shared" si="13"/>
        <v/>
      </c>
      <c r="X77" s="55" t="e">
        <f t="shared" si="16"/>
        <v>#VALUE!</v>
      </c>
      <c r="Y77" s="153">
        <v>82</v>
      </c>
      <c r="Z77" s="191">
        <f t="shared" si="17"/>
        <v>0</v>
      </c>
    </row>
    <row r="78" spans="4:26">
      <c r="D78" s="48">
        <v>83</v>
      </c>
      <c r="E78" s="48">
        <f>IF(D78&lt;入力!$C$17,NA(),IF(D78&gt;入力!$H$48,NA(),D78))</f>
        <v>83</v>
      </c>
      <c r="F78" s="55">
        <f>IF(E78&gt;入力!$C$17,IF(S77&gt;=P77,P78,(F77-L77)*(1-$B$27)),IF(E78=入力!$C$17,入力!$C$18,NA()))</f>
        <v>613.00436555367423</v>
      </c>
      <c r="G78" s="49">
        <f>'樹高計算 '!N76</f>
        <v>30.846733427152206</v>
      </c>
      <c r="H78" s="49">
        <f>直径材積計算!L191</f>
        <v>987.34394883746518</v>
      </c>
      <c r="I78" s="49">
        <f>直径材積計算!I191</f>
        <v>38.74711106748596</v>
      </c>
      <c r="J78" s="84">
        <f t="shared" si="15"/>
        <v>1.6106638130475337</v>
      </c>
      <c r="K78" s="84">
        <f>ROUNDDOWN(直径材積計算!X191,2)</f>
        <v>0.74</v>
      </c>
      <c r="L78" s="55">
        <f t="shared" si="11"/>
        <v>0</v>
      </c>
      <c r="M78" s="62">
        <f t="shared" si="12"/>
        <v>0</v>
      </c>
      <c r="N78" s="62">
        <f t="shared" si="18"/>
        <v>0</v>
      </c>
      <c r="O78" s="49">
        <f>直径材積計算!U191</f>
        <v>0</v>
      </c>
      <c r="P78" s="204">
        <f>直径材積計算!K75</f>
        <v>1664.6084426556456</v>
      </c>
      <c r="Q78" s="204">
        <f>VLOOKUP(G78,密度計算!A103:Q103,$AA$4,FALSE)</f>
        <v>455.30489574859712</v>
      </c>
      <c r="R78" s="49">
        <f>VLOOKUP(G78,密度計算!A103:Q103,$AA$5,FALSE)</f>
        <v>613.44502450685491</v>
      </c>
      <c r="S78" s="55">
        <f>直径材積計算!N191</f>
        <v>613.00436555367423</v>
      </c>
      <c r="T78" s="49">
        <f>直径材積計算!T191</f>
        <v>987.34394883746518</v>
      </c>
      <c r="U78" s="49">
        <f>直径材積計算!S191</f>
        <v>38.74711106748596</v>
      </c>
      <c r="V78" s="84">
        <f>直径材積計算!Y191</f>
        <v>0.7497612689498635</v>
      </c>
      <c r="W78" s="55" t="str">
        <f t="shared" si="13"/>
        <v/>
      </c>
      <c r="X78" s="55" t="e">
        <f t="shared" si="16"/>
        <v>#VALUE!</v>
      </c>
      <c r="Y78" s="153">
        <v>83</v>
      </c>
      <c r="Z78" s="191">
        <f t="shared" si="17"/>
        <v>0</v>
      </c>
    </row>
    <row r="79" spans="4:26">
      <c r="D79" s="48">
        <v>84</v>
      </c>
      <c r="E79" s="48">
        <f>IF(D79&lt;入力!$C$17,NA(),IF(D79&gt;入力!$H$48,NA(),D79))</f>
        <v>84</v>
      </c>
      <c r="F79" s="55">
        <f>IF(E79&gt;入力!$C$17,IF(S78&gt;=P78,P79,(F78-L78)*(1-$B$27)),IF(E79=入力!$C$17,入力!$C$18,NA()))</f>
        <v>613.00436555367423</v>
      </c>
      <c r="G79" s="49">
        <f>'樹高計算 '!N77</f>
        <v>30.951588530301056</v>
      </c>
      <c r="H79" s="49">
        <f>直径材積計算!L192</f>
        <v>993.7414732197235</v>
      </c>
      <c r="I79" s="49">
        <f>直径材積計算!I192</f>
        <v>38.810019105480187</v>
      </c>
      <c r="J79" s="84">
        <f t="shared" si="15"/>
        <v>1.6211001569657046</v>
      </c>
      <c r="K79" s="84">
        <f>ROUNDDOWN(直径材積計算!X192,2)</f>
        <v>0.75</v>
      </c>
      <c r="L79" s="55">
        <f t="shared" si="11"/>
        <v>160</v>
      </c>
      <c r="M79" s="62">
        <f t="shared" si="12"/>
        <v>0.26100956043842483</v>
      </c>
      <c r="N79" s="62">
        <f t="shared" si="18"/>
        <v>0.26100956043842483</v>
      </c>
      <c r="O79" s="49">
        <f>直径材積計算!U192</f>
        <v>134.1855237130867</v>
      </c>
      <c r="P79" s="204">
        <f>直径材積計算!K76</f>
        <v>1661.7244542837959</v>
      </c>
      <c r="Q79" s="204">
        <f>VLOOKUP(G79,密度計算!A104:Q104,$AA$4,FALSE)</f>
        <v>453.22814934507971</v>
      </c>
      <c r="R79" s="49">
        <f>VLOOKUP(G79,密度計算!A104:Q104,$AA$5,FALSE)</f>
        <v>610.64696597443867</v>
      </c>
      <c r="S79" s="55">
        <f>直径材積計算!N192</f>
        <v>453.00436555367423</v>
      </c>
      <c r="T79" s="49">
        <f>直径材積計算!T192</f>
        <v>859.55594950663681</v>
      </c>
      <c r="U79" s="49">
        <f>直径材積計算!S192</f>
        <v>42.637280653411672</v>
      </c>
      <c r="V79" s="84">
        <f>直径材積計算!Y192</f>
        <v>0.64983396450404562</v>
      </c>
      <c r="W79" s="55">
        <f t="shared" si="13"/>
        <v>84</v>
      </c>
      <c r="X79" s="55">
        <f t="shared" si="16"/>
        <v>5</v>
      </c>
      <c r="Y79" s="153">
        <v>84</v>
      </c>
      <c r="Z79" s="191">
        <f t="shared" si="17"/>
        <v>0.26100956043842483</v>
      </c>
    </row>
    <row r="80" spans="4:26">
      <c r="D80" s="48">
        <v>85</v>
      </c>
      <c r="E80" s="48">
        <f>IF(D80&lt;入力!$C$17,NA(),IF(D80&gt;入力!$H$48,NA(),D80))</f>
        <v>85</v>
      </c>
      <c r="F80" s="55">
        <f>IF(E80&gt;入力!$C$17,IF(S79&gt;=P79,P80,(F79-L79)*(1-$B$27)),IF(E80=入力!$C$17,入力!$C$18,NA()))</f>
        <v>453.00436555367423</v>
      </c>
      <c r="G80" s="49">
        <f>'樹高計算 '!N78</f>
        <v>31.053651329577239</v>
      </c>
      <c r="H80" s="49">
        <f>直径材積計算!L193</f>
        <v>865.24334382579036</v>
      </c>
      <c r="I80" s="49">
        <f>直径材積計算!I193</f>
        <v>42.711905271695571</v>
      </c>
      <c r="J80" s="84">
        <f t="shared" si="15"/>
        <v>1.9100110498234746</v>
      </c>
      <c r="K80" s="84">
        <f>ROUNDDOWN(直径材積計算!X193,2)</f>
        <v>0.65</v>
      </c>
      <c r="L80" s="55">
        <f t="shared" si="11"/>
        <v>0</v>
      </c>
      <c r="M80" s="62">
        <f t="shared" si="12"/>
        <v>0</v>
      </c>
      <c r="N80" s="62">
        <f t="shared" si="18"/>
        <v>0</v>
      </c>
      <c r="O80" s="49">
        <f>直径材積計算!U193</f>
        <v>0</v>
      </c>
      <c r="P80" s="204">
        <f>直径材積計算!K77</f>
        <v>1658.9234461350231</v>
      </c>
      <c r="Q80" s="204">
        <f>VLOOKUP(G80,密度計算!A105:Q105,$AA$4,FALSE)</f>
        <v>451.22250542666438</v>
      </c>
      <c r="R80" s="49">
        <f>VLOOKUP(G80,密度計算!A105:Q105,$AA$5,FALSE)</f>
        <v>607.94470580949701</v>
      </c>
      <c r="S80" s="55">
        <f>直径材積計算!N193</f>
        <v>453.00436555367423</v>
      </c>
      <c r="T80" s="49">
        <f>直径材積計算!T193</f>
        <v>865.24334382579036</v>
      </c>
      <c r="U80" s="49">
        <f>直径材積計算!S193</f>
        <v>42.711905271695571</v>
      </c>
      <c r="V80" s="84">
        <f>直径材積計算!Y193</f>
        <v>0.65132507762060143</v>
      </c>
      <c r="W80" s="55" t="str">
        <f t="shared" si="13"/>
        <v/>
      </c>
      <c r="X80" s="55" t="e">
        <f t="shared" si="16"/>
        <v>#VALUE!</v>
      </c>
      <c r="Y80" s="153">
        <v>85</v>
      </c>
      <c r="Z80" s="191">
        <f t="shared" si="17"/>
        <v>0</v>
      </c>
    </row>
    <row r="81" spans="4:26">
      <c r="D81" s="48">
        <v>86</v>
      </c>
      <c r="E81" s="48">
        <f>IF(D81&lt;入力!$C$17,NA(),IF(D81&gt;入力!$H$48,NA(),D81))</f>
        <v>86</v>
      </c>
      <c r="F81" s="55">
        <f>IF(E81&gt;入力!$C$17,IF(S80&gt;=P80,P81,(F80-L80)*(1-$B$27)),IF(E81=入力!$C$17,入力!$C$18,NA()))</f>
        <v>453.00436555367423</v>
      </c>
      <c r="G81" s="49">
        <f>'樹高計算 '!N79</f>
        <v>31.152996859692191</v>
      </c>
      <c r="H81" s="49">
        <f>直径材積計算!L194</f>
        <v>870.79327227381793</v>
      </c>
      <c r="I81" s="49">
        <f>直径材積計算!I194</f>
        <v>42.784315522903128</v>
      </c>
      <c r="J81" s="84">
        <f t="shared" si="15"/>
        <v>1.9222624294348925</v>
      </c>
      <c r="K81" s="84">
        <f>ROUNDDOWN(直径材積計算!X194,2)</f>
        <v>0.65</v>
      </c>
      <c r="L81" s="55">
        <f t="shared" si="11"/>
        <v>0</v>
      </c>
      <c r="M81" s="62">
        <f t="shared" si="12"/>
        <v>0</v>
      </c>
      <c r="N81" s="62">
        <f t="shared" si="18"/>
        <v>0</v>
      </c>
      <c r="O81" s="49">
        <f>直径材積計算!U194</f>
        <v>0</v>
      </c>
      <c r="P81" s="204">
        <f>直径材積計算!K78</f>
        <v>1656.2028623451035</v>
      </c>
      <c r="Q81" s="204">
        <f>VLOOKUP(G81,密度計算!A106:Q106,$AA$4,FALSE)</f>
        <v>449.28506308842833</v>
      </c>
      <c r="R81" s="49">
        <f>VLOOKUP(G81,密度計算!A106:Q106,$AA$5,FALSE)</f>
        <v>605.33433554166652</v>
      </c>
      <c r="S81" s="55">
        <f>直径材積計算!N194</f>
        <v>453.00436555367423</v>
      </c>
      <c r="T81" s="49">
        <f>直径材積計算!T194</f>
        <v>870.79327227381793</v>
      </c>
      <c r="U81" s="49">
        <f>直径材積計算!S194</f>
        <v>42.784315522903128</v>
      </c>
      <c r="V81" s="84">
        <f>直径材積計算!Y194</f>
        <v>0.6527719980717217</v>
      </c>
      <c r="W81" s="55" t="str">
        <f t="shared" si="13"/>
        <v/>
      </c>
      <c r="X81" s="55" t="e">
        <f t="shared" si="16"/>
        <v>#VALUE!</v>
      </c>
      <c r="Y81" s="153">
        <v>86</v>
      </c>
      <c r="Z81" s="191">
        <f t="shared" si="17"/>
        <v>0</v>
      </c>
    </row>
    <row r="82" spans="4:26">
      <c r="D82" s="48">
        <v>87</v>
      </c>
      <c r="E82" s="48">
        <f>IF(D82&lt;入力!$C$17,NA(),IF(D82&gt;入力!$H$48,NA(),D82))</f>
        <v>87</v>
      </c>
      <c r="F82" s="55">
        <f>IF(E82&gt;入力!$C$17,IF(S81&gt;=P81,P82,(F81-L81)*(1-$B$27)),IF(E82=入力!$C$17,入力!$C$18,NA()))</f>
        <v>453.00436555367423</v>
      </c>
      <c r="G82" s="49">
        <f>'樹高計算 '!N80</f>
        <v>31.249698085070811</v>
      </c>
      <c r="H82" s="49">
        <f>直径材積計算!L195</f>
        <v>876.20865902420496</v>
      </c>
      <c r="I82" s="49">
        <f>直径材積計算!I195</f>
        <v>42.854583773765853</v>
      </c>
      <c r="J82" s="84">
        <f t="shared" si="15"/>
        <v>1.9342168103684365</v>
      </c>
      <c r="K82" s="84">
        <f>ROUNDDOWN(直径材積計算!X195,2)</f>
        <v>0.65</v>
      </c>
      <c r="L82" s="55">
        <f t="shared" si="11"/>
        <v>0</v>
      </c>
      <c r="M82" s="62">
        <f t="shared" si="12"/>
        <v>0</v>
      </c>
      <c r="N82" s="62">
        <f t="shared" si="18"/>
        <v>0</v>
      </c>
      <c r="O82" s="49">
        <f>直径材積計算!U195</f>
        <v>0</v>
      </c>
      <c r="P82" s="204">
        <f>直径材積計算!K79</f>
        <v>1653.5602344904505</v>
      </c>
      <c r="Q82" s="204">
        <f>VLOOKUP(G82,密度計算!A107:Q107,$AA$4,FALSE)</f>
        <v>447.41306758057783</v>
      </c>
      <c r="R82" s="49">
        <f>VLOOKUP(G82,密度計算!A107:Q107,$AA$5,FALSE)</f>
        <v>602.81214361947787</v>
      </c>
      <c r="S82" s="55">
        <f>直径材積計算!N195</f>
        <v>453.00436555367423</v>
      </c>
      <c r="T82" s="49">
        <f>直径材積計算!T195</f>
        <v>876.20865902420496</v>
      </c>
      <c r="U82" s="49">
        <f>直径材積計算!S195</f>
        <v>42.854583773765853</v>
      </c>
      <c r="V82" s="84">
        <f>直径材積計算!Y195</f>
        <v>0.65417616126695755</v>
      </c>
      <c r="W82" s="55" t="str">
        <f t="shared" si="13"/>
        <v/>
      </c>
      <c r="X82" s="55" t="e">
        <f t="shared" si="16"/>
        <v>#VALUE!</v>
      </c>
      <c r="Y82" s="153">
        <v>87</v>
      </c>
      <c r="Z82" s="191">
        <f t="shared" si="17"/>
        <v>0</v>
      </c>
    </row>
    <row r="83" spans="4:26">
      <c r="D83" s="48">
        <v>88</v>
      </c>
      <c r="E83" s="48">
        <f>IF(D83&lt;入力!$C$17,NA(),IF(D83&gt;入力!$H$48,NA(),D83))</f>
        <v>88</v>
      </c>
      <c r="F83" s="55">
        <f>IF(E83&gt;入力!$C$17,IF(S82&gt;=P82,P83,(F82-L82)*(1-$B$27)),IF(E83=入力!$C$17,入力!$C$18,NA()))</f>
        <v>453.00436555367423</v>
      </c>
      <c r="G83" s="49">
        <f>'樹高計算 '!N81</f>
        <v>31.34382596027713</v>
      </c>
      <c r="H83" s="49">
        <f>直径材積計算!L196</f>
        <v>881.49239044306228</v>
      </c>
      <c r="I83" s="49">
        <f>直径材積計算!I196</f>
        <v>42.922779645994829</v>
      </c>
      <c r="J83" s="84">
        <f t="shared" si="15"/>
        <v>1.9458805642318222</v>
      </c>
      <c r="K83" s="84">
        <f>ROUNDDOWN(直径材積計算!X196,2)</f>
        <v>0.65</v>
      </c>
      <c r="L83" s="55">
        <f t="shared" si="11"/>
        <v>0</v>
      </c>
      <c r="M83" s="62">
        <f t="shared" si="12"/>
        <v>0</v>
      </c>
      <c r="N83" s="62">
        <f t="shared" si="18"/>
        <v>0</v>
      </c>
      <c r="O83" s="49">
        <f>直径材積計算!U196</f>
        <v>0</v>
      </c>
      <c r="P83" s="204">
        <f>直径材積計算!K80</f>
        <v>1650.9931781960893</v>
      </c>
      <c r="Q83" s="204">
        <f>VLOOKUP(G83,密度計算!A108:Q108,$AA$4,FALSE)</f>
        <v>445.60390129475996</v>
      </c>
      <c r="R83" s="49">
        <f>VLOOKUP(G83,密度計算!A108:Q108,$AA$5,FALSE)</f>
        <v>600.37460326596192</v>
      </c>
      <c r="S83" s="55">
        <f>直径材積計算!N196</f>
        <v>453.00436555367423</v>
      </c>
      <c r="T83" s="49">
        <f>直径材積計算!T196</f>
        <v>881.49239044306228</v>
      </c>
      <c r="U83" s="49">
        <f>直径材積計算!S196</f>
        <v>42.922779645994829</v>
      </c>
      <c r="V83" s="84">
        <f>直径材積計算!Y196</f>
        <v>0.65553894911890875</v>
      </c>
      <c r="W83" s="55" t="str">
        <f t="shared" si="13"/>
        <v/>
      </c>
      <c r="X83" s="55" t="e">
        <f t="shared" si="16"/>
        <v>#VALUE!</v>
      </c>
      <c r="Y83" s="153">
        <v>88</v>
      </c>
      <c r="Z83" s="191">
        <f t="shared" si="17"/>
        <v>0</v>
      </c>
    </row>
    <row r="84" spans="4:26">
      <c r="D84" s="48">
        <v>89</v>
      </c>
      <c r="E84" s="48">
        <f>IF(D84&lt;入力!$C$17,NA(),IF(D84&gt;入力!$H$48,NA(),D84))</f>
        <v>89</v>
      </c>
      <c r="F84" s="55">
        <f>IF(E84&gt;入力!$C$17,IF(S83&gt;=P83,P84,(F83-L83)*(1-$B$27)),IF(E84=入力!$C$17,入力!$C$18,NA()))</f>
        <v>453.00436555367423</v>
      </c>
      <c r="G84" s="49">
        <f>'樹高計算 '!N82</f>
        <v>31.435449488585853</v>
      </c>
      <c r="H84" s="49">
        <f>直径材積計算!L197</f>
        <v>886.64731378064914</v>
      </c>
      <c r="I84" s="49">
        <f>直径材積計算!I197</f>
        <v>42.988970141371823</v>
      </c>
      <c r="J84" s="84">
        <f t="shared" si="15"/>
        <v>1.9572599762851397</v>
      </c>
      <c r="K84" s="84">
        <f>ROUNDDOWN(直径材積計算!X197,2)</f>
        <v>0.65</v>
      </c>
      <c r="L84" s="55">
        <f t="shared" si="11"/>
        <v>0</v>
      </c>
      <c r="M84" s="62">
        <f t="shared" si="12"/>
        <v>0</v>
      </c>
      <c r="N84" s="62">
        <f t="shared" si="18"/>
        <v>0</v>
      </c>
      <c r="O84" s="49">
        <f>直径材積計算!U197</f>
        <v>0</v>
      </c>
      <c r="P84" s="204">
        <f>直径材積計算!K81</f>
        <v>1648.4993898873015</v>
      </c>
      <c r="Q84" s="204">
        <f>VLOOKUP(G84,密度計算!A109:Q109,$AA$4,FALSE)</f>
        <v>443.85507540711291</v>
      </c>
      <c r="R84" s="49">
        <f>VLOOKUP(G84,密度計算!A109:Q109,$AA$5,FALSE)</f>
        <v>598.01836121909798</v>
      </c>
      <c r="S84" s="55">
        <f>直径材積計算!N197</f>
        <v>453.00436555367423</v>
      </c>
      <c r="T84" s="49">
        <f>直径材積計算!T197</f>
        <v>886.64731378064914</v>
      </c>
      <c r="U84" s="49">
        <f>直径材積計算!S197</f>
        <v>42.988970141371823</v>
      </c>
      <c r="V84" s="84">
        <f>直径材積計算!Y197</f>
        <v>0.65686169239313574</v>
      </c>
      <c r="W84" s="55" t="str">
        <f t="shared" si="13"/>
        <v/>
      </c>
      <c r="X84" s="55" t="e">
        <f t="shared" si="16"/>
        <v>#VALUE!</v>
      </c>
      <c r="Y84" s="153">
        <v>89</v>
      </c>
      <c r="Z84" s="191">
        <f t="shared" si="17"/>
        <v>0</v>
      </c>
    </row>
    <row r="85" spans="4:26">
      <c r="D85" s="48">
        <v>90</v>
      </c>
      <c r="E85" s="48">
        <f>IF(D85&lt;入力!$C$17,NA(),IF(D85&gt;入力!$H$48,NA(),D85))</f>
        <v>90</v>
      </c>
      <c r="F85" s="55">
        <f>IF(E85&gt;入力!$C$17,IF(S84&gt;=P84,P85,(F84-L84)*(1-$B$27)),IF(E85=入力!$C$17,入力!$C$18,NA()))</f>
        <v>453.00436555367423</v>
      </c>
      <c r="G85" s="49">
        <f>'樹高計算 '!N83</f>
        <v>31.52463577874099</v>
      </c>
      <c r="H85" s="49">
        <f>直径材積計算!L198</f>
        <v>891.6762360462576</v>
      </c>
      <c r="I85" s="49">
        <f>直径材積計算!I198</f>
        <v>43.053219760071975</v>
      </c>
      <c r="J85" s="84">
        <f t="shared" si="15"/>
        <v>1.9683612429571771</v>
      </c>
      <c r="K85" s="84">
        <f>ROUNDDOWN(直径材積計算!X198,2)</f>
        <v>0.65</v>
      </c>
      <c r="L85" s="55">
        <f t="shared" si="11"/>
        <v>0</v>
      </c>
      <c r="M85" s="62">
        <f t="shared" si="12"/>
        <v>0</v>
      </c>
      <c r="N85" s="62">
        <f t="shared" si="18"/>
        <v>0</v>
      </c>
      <c r="O85" s="49">
        <f>直径材積計算!U198</f>
        <v>0</v>
      </c>
      <c r="P85" s="204">
        <f>直径材積計算!K82</f>
        <v>1646.0766436793454</v>
      </c>
      <c r="Q85" s="204">
        <f>VLOOKUP(G85,密度計算!A110:Q110,$AA$4,FALSE)</f>
        <v>442.16422212345105</v>
      </c>
      <c r="R85" s="49">
        <f>VLOOKUP(G85,密度計算!A110:Q110,$AA$5,FALSE)</f>
        <v>595.74022728353373</v>
      </c>
      <c r="S85" s="55">
        <f>直径材積計算!N198</f>
        <v>453.00436555367423</v>
      </c>
      <c r="T85" s="49">
        <f>直径材積計算!T198</f>
        <v>891.6762360462576</v>
      </c>
      <c r="U85" s="49">
        <f>直径材積計算!S198</f>
        <v>43.053219760071975</v>
      </c>
      <c r="V85" s="84">
        <f>直径材積計算!Y198</f>
        <v>0.65814567293860682</v>
      </c>
      <c r="W85" s="55" t="str">
        <f t="shared" si="13"/>
        <v/>
      </c>
      <c r="X85" s="55" t="e">
        <f t="shared" si="16"/>
        <v>#VALUE!</v>
      </c>
      <c r="Y85" s="153">
        <v>90</v>
      </c>
      <c r="Z85" s="191">
        <f t="shared" si="17"/>
        <v>0</v>
      </c>
    </row>
    <row r="86" spans="4:26">
      <c r="D86" s="48">
        <v>91</v>
      </c>
      <c r="E86" s="48">
        <f>IF(D86&lt;入力!$C$17,NA(),IF(D86&gt;入力!$H$48,NA(),D86))</f>
        <v>91</v>
      </c>
      <c r="F86" s="55">
        <f>IF(E86&gt;入力!$C$17,IF(S85&gt;=P85,P86,(F85-L85)*(1-$B$27)),IF(E86=入力!$C$17,入力!$C$18,NA()))</f>
        <v>453.00436555367423</v>
      </c>
      <c r="G86" s="49">
        <f>'樹高計算 '!N84</f>
        <v>31.611450099945927</v>
      </c>
      <c r="H86" s="49">
        <f>直径材積計算!L199</f>
        <v>896.58192305055434</v>
      </c>
      <c r="I86" s="49">
        <f>直径材積計算!I199</f>
        <v>43.115590612630911</v>
      </c>
      <c r="J86" s="84">
        <f t="shared" si="15"/>
        <v>1.9791904697314067</v>
      </c>
      <c r="K86" s="84">
        <f>ROUNDDOWN(直径材積計算!X199,2)</f>
        <v>0.65</v>
      </c>
      <c r="L86" s="55">
        <f t="shared" si="11"/>
        <v>0</v>
      </c>
      <c r="M86" s="62">
        <f t="shared" si="12"/>
        <v>0</v>
      </c>
      <c r="N86" s="62">
        <f t="shared" si="18"/>
        <v>0</v>
      </c>
      <c r="O86" s="49">
        <f>直径材積計算!U199</f>
        <v>0</v>
      </c>
      <c r="P86" s="204">
        <f>直径材積計算!K83</f>
        <v>1643.722788399692</v>
      </c>
      <c r="Q86" s="204">
        <f>VLOOKUP(G86,密度計算!A111:Q111,$AA$4,FALSE)</f>
        <v>440.52908747701156</v>
      </c>
      <c r="R86" s="49">
        <f>VLOOKUP(G86,密度計算!A111:Q111,$AA$5,FALSE)</f>
        <v>593.53716462678835</v>
      </c>
      <c r="S86" s="55">
        <f>直径材積計算!N199</f>
        <v>453.00436555367423</v>
      </c>
      <c r="T86" s="49">
        <f>直径材積計算!T199</f>
        <v>896.58192305055434</v>
      </c>
      <c r="U86" s="49">
        <f>直径材積計算!S199</f>
        <v>43.115590612630911</v>
      </c>
      <c r="V86" s="84">
        <f>直径材積計算!Y199</f>
        <v>0.65939212580528206</v>
      </c>
      <c r="W86" s="55" t="str">
        <f t="shared" si="13"/>
        <v/>
      </c>
      <c r="X86" s="55" t="e">
        <f t="shared" si="16"/>
        <v>#VALUE!</v>
      </c>
      <c r="Y86" s="153">
        <v>91</v>
      </c>
      <c r="Z86" s="191">
        <f t="shared" si="17"/>
        <v>0</v>
      </c>
    </row>
    <row r="87" spans="4:26">
      <c r="D87" s="48">
        <v>92</v>
      </c>
      <c r="E87" s="48">
        <f>IF(D87&lt;入力!$C$17,NA(),IF(D87&gt;入力!$H$48,NA(),D87))</f>
        <v>92</v>
      </c>
      <c r="F87" s="55">
        <f>IF(E87&gt;入力!$C$17,IF(S86&gt;=P86,P87,(F86-L86)*(1-$B$27)),IF(E87=入力!$C$17,入力!$C$18,NA()))</f>
        <v>453.00436555367423</v>
      </c>
      <c r="G87" s="49">
        <f>'樹高計算 '!N85</f>
        <v>31.695955935131838</v>
      </c>
      <c r="H87" s="49">
        <f>直径材積計算!L200</f>
        <v>901.36709860084773</v>
      </c>
      <c r="I87" s="49">
        <f>直径材積計算!I200</f>
        <v>43.176142525943419</v>
      </c>
      <c r="J87" s="84">
        <f t="shared" si="15"/>
        <v>1.9897536693695488</v>
      </c>
      <c r="K87" s="84">
        <f>ROUNDDOWN(直径材積計算!X200,2)</f>
        <v>0.66</v>
      </c>
      <c r="L87" s="55">
        <f t="shared" si="11"/>
        <v>0</v>
      </c>
      <c r="M87" s="62">
        <f t="shared" si="12"/>
        <v>0</v>
      </c>
      <c r="N87" s="62">
        <f t="shared" si="18"/>
        <v>0</v>
      </c>
      <c r="O87" s="49">
        <f>直径材積計算!U200</f>
        <v>0</v>
      </c>
      <c r="P87" s="204">
        <f>直径材積計算!K84</f>
        <v>1641.4357447373015</v>
      </c>
      <c r="Q87" s="204">
        <f>VLOOKUP(G87,密度計算!A112:Q112,$AA$4,FALSE)</f>
        <v>438.94752463376358</v>
      </c>
      <c r="R87" s="49">
        <f>VLOOKUP(G87,密度計算!A112:Q112,$AA$5,FALSE)</f>
        <v>591.40628075930817</v>
      </c>
      <c r="S87" s="55">
        <f>直径材積計算!N200</f>
        <v>453.00436555367423</v>
      </c>
      <c r="T87" s="49">
        <f>直径材積計算!T200</f>
        <v>901.36709860084773</v>
      </c>
      <c r="U87" s="49">
        <f>直径材積計算!S200</f>
        <v>43.176142525943419</v>
      </c>
      <c r="V87" s="84">
        <f>直径材積計算!Y200</f>
        <v>0.66060224125507372</v>
      </c>
      <c r="W87" s="55" t="str">
        <f t="shared" si="13"/>
        <v/>
      </c>
      <c r="X87" s="55" t="e">
        <f t="shared" si="16"/>
        <v>#VALUE!</v>
      </c>
      <c r="Y87" s="153">
        <v>92</v>
      </c>
      <c r="Z87" s="191">
        <f t="shared" si="17"/>
        <v>0</v>
      </c>
    </row>
    <row r="88" spans="4:26">
      <c r="D88" s="48">
        <v>93</v>
      </c>
      <c r="E88" s="48">
        <f>IF(D88&lt;入力!$C$17,NA(),IF(D88&gt;入力!$H$48,NA(),D88))</f>
        <v>93</v>
      </c>
      <c r="F88" s="55">
        <f>IF(E88&gt;入力!$C$17,IF(S87&gt;=P87,P88,(F87-L87)*(1-$B$27)),IF(E88=入力!$C$17,入力!$C$18,NA()))</f>
        <v>453.00436555367423</v>
      </c>
      <c r="G88" s="49">
        <f>'樹高計算 '!N86</f>
        <v>31.778215032552865</v>
      </c>
      <c r="H88" s="49">
        <f>直径材積計算!L201</f>
        <v>906.03444383600959</v>
      </c>
      <c r="I88" s="49">
        <f>直径材積計算!I201</f>
        <v>43.234933143655681</v>
      </c>
      <c r="J88" s="84">
        <f t="shared" si="15"/>
        <v>2.0000567604434223</v>
      </c>
      <c r="K88" s="84">
        <f>ROUNDDOWN(直径材積計算!X201,2)</f>
        <v>0.66</v>
      </c>
      <c r="L88" s="55">
        <f t="shared" si="11"/>
        <v>0</v>
      </c>
      <c r="M88" s="62">
        <f t="shared" si="12"/>
        <v>0</v>
      </c>
      <c r="N88" s="62">
        <f t="shared" si="18"/>
        <v>0</v>
      </c>
      <c r="O88" s="49">
        <f>直径材積計算!U201</f>
        <v>0</v>
      </c>
      <c r="P88" s="204">
        <f>直径材積計算!K85</f>
        <v>1639.213502513576</v>
      </c>
      <c r="Q88" s="204">
        <f>VLOOKUP(G88,密度計算!A113:Q113,$AA$4,FALSE)</f>
        <v>437.41748766434995</v>
      </c>
      <c r="R88" s="49">
        <f>VLOOKUP(G88,密度計算!A113:Q113,$AA$5,FALSE)</f>
        <v>589.34481914322976</v>
      </c>
      <c r="S88" s="55">
        <f>直径材積計算!N201</f>
        <v>453.00436555367423</v>
      </c>
      <c r="T88" s="49">
        <f>直径材積計算!T201</f>
        <v>906.03444383600959</v>
      </c>
      <c r="U88" s="49">
        <f>直径材積計算!S201</f>
        <v>43.234933143655681</v>
      </c>
      <c r="V88" s="84">
        <f>直径材積計算!Y201</f>
        <v>0.66177716667209197</v>
      </c>
      <c r="W88" s="55" t="str">
        <f t="shared" si="13"/>
        <v/>
      </c>
      <c r="X88" s="55" t="e">
        <f t="shared" si="16"/>
        <v>#VALUE!</v>
      </c>
      <c r="Y88" s="153">
        <v>93</v>
      </c>
      <c r="Z88" s="191">
        <f t="shared" si="17"/>
        <v>0</v>
      </c>
    </row>
    <row r="89" spans="4:26">
      <c r="D89" s="48">
        <v>94</v>
      </c>
      <c r="E89" s="48">
        <f>IF(D89&lt;入力!$C$17,NA(),IF(D89&gt;入力!$H$48,NA(),D89))</f>
        <v>94</v>
      </c>
      <c r="F89" s="55">
        <f>IF(E89&gt;入力!$C$17,IF(S88&gt;=P88,P89,(F88-L88)*(1-$B$27)),IF(E89=入力!$C$17,入力!$C$18,NA()))</f>
        <v>453.00436555367423</v>
      </c>
      <c r="G89" s="49">
        <f>'樹高計算 '!N87</f>
        <v>31.858287455757491</v>
      </c>
      <c r="H89" s="49">
        <f>直径材積計算!L202</f>
        <v>910.58659668887208</v>
      </c>
      <c r="I89" s="49">
        <f>直径材積計算!I202</f>
        <v>43.292018021288719</v>
      </c>
      <c r="J89" s="84">
        <f t="shared" si="15"/>
        <v>2.0101055661481948</v>
      </c>
      <c r="K89" s="84">
        <f>ROUNDDOWN(直径材積計算!X202,2)</f>
        <v>0.66</v>
      </c>
      <c r="L89" s="55">
        <f t="shared" si="11"/>
        <v>0</v>
      </c>
      <c r="M89" s="62">
        <f t="shared" si="12"/>
        <v>0</v>
      </c>
      <c r="N89" s="62">
        <f t="shared" si="18"/>
        <v>0</v>
      </c>
      <c r="O89" s="49">
        <f>直径材積計算!U202</f>
        <v>0</v>
      </c>
      <c r="P89" s="204">
        <f>直径材積計算!K86</f>
        <v>1637.0541180697639</v>
      </c>
      <c r="Q89" s="204">
        <f>VLOOKUP(G89,密度計算!A114:Q114,$AA$4,FALSE)</f>
        <v>435.93702574542243</v>
      </c>
      <c r="R89" s="49">
        <f>VLOOKUP(G89,密度計算!A114:Q114,$AA$5,FALSE)</f>
        <v>587.35015137967605</v>
      </c>
      <c r="S89" s="55">
        <f>直径材積計算!N202</f>
        <v>453.00436555367423</v>
      </c>
      <c r="T89" s="49">
        <f>直径材積計算!T202</f>
        <v>910.58659668887208</v>
      </c>
      <c r="U89" s="49">
        <f>直径材積計算!S202</f>
        <v>43.292018021288719</v>
      </c>
      <c r="V89" s="84">
        <f>直径材積計算!Y202</f>
        <v>0.66291800837774995</v>
      </c>
      <c r="W89" s="55" t="str">
        <f t="shared" si="13"/>
        <v/>
      </c>
      <c r="X89" s="55" t="e">
        <f t="shared" si="16"/>
        <v>#VALUE!</v>
      </c>
      <c r="Y89" s="153">
        <v>94</v>
      </c>
      <c r="Z89" s="191">
        <f t="shared" si="17"/>
        <v>0</v>
      </c>
    </row>
    <row r="90" spans="4:26">
      <c r="D90" s="48">
        <v>95</v>
      </c>
      <c r="E90" s="48">
        <f>IF(D90&lt;入力!$C$17,NA(),IF(D90&gt;入力!$H$48,NA(),D90))</f>
        <v>95</v>
      </c>
      <c r="F90" s="55">
        <f>IF(E90&gt;入力!$C$17,IF(S89&gt;=P89,P90,(F89-L89)*(1-$B$27)),IF(E90=入力!$C$17,入力!$C$18,NA()))</f>
        <v>453.00436555367423</v>
      </c>
      <c r="G90" s="49">
        <f>'樹高計算 '!N88</f>
        <v>31.936231631986093</v>
      </c>
      <c r="H90" s="49">
        <f>直径材積計算!L203</f>
        <v>915.02615146500659</v>
      </c>
      <c r="I90" s="49">
        <f>直径材積計算!I203</f>
        <v>43.34745071641025</v>
      </c>
      <c r="J90" s="84">
        <f t="shared" si="15"/>
        <v>2.0199058133725418</v>
      </c>
      <c r="K90" s="84">
        <f>ROUNDDOWN(直径材積計算!X203,2)</f>
        <v>0.66</v>
      </c>
      <c r="L90" s="55">
        <f t="shared" si="11"/>
        <v>0</v>
      </c>
      <c r="M90" s="62">
        <f t="shared" si="12"/>
        <v>0</v>
      </c>
      <c r="N90" s="62">
        <f t="shared" si="18"/>
        <v>0</v>
      </c>
      <c r="O90" s="49">
        <f>直径材積計算!U203</f>
        <v>0</v>
      </c>
      <c r="P90" s="204">
        <f>直径材積計算!K87</f>
        <v>1634.9557117657275</v>
      </c>
      <c r="Q90" s="204">
        <f>VLOOKUP(G90,密度計算!A115:Q115,$AA$4,FALSE)</f>
        <v>434.50427775644823</v>
      </c>
      <c r="R90" s="49">
        <f>VLOOKUP(G90,密度計算!A115:Q115,$AA$5,FALSE)</f>
        <v>585.41976992888272</v>
      </c>
      <c r="S90" s="55">
        <f>直径材積計算!N203</f>
        <v>453.00436555367423</v>
      </c>
      <c r="T90" s="49">
        <f>直径材積計算!T203</f>
        <v>915.02615146500659</v>
      </c>
      <c r="U90" s="49">
        <f>直径材積計算!S203</f>
        <v>43.34745071641025</v>
      </c>
      <c r="V90" s="84">
        <f>直径材積計算!Y203</f>
        <v>0.66402583335599641</v>
      </c>
      <c r="W90" s="55" t="str">
        <f t="shared" si="13"/>
        <v/>
      </c>
      <c r="X90" s="55" t="e">
        <f t="shared" si="16"/>
        <v>#VALUE!</v>
      </c>
      <c r="Y90" s="153">
        <v>95</v>
      </c>
      <c r="Z90" s="191">
        <f t="shared" si="17"/>
        <v>0</v>
      </c>
    </row>
    <row r="91" spans="4:26">
      <c r="D91" s="48">
        <v>96</v>
      </c>
      <c r="E91" s="48">
        <f>IF(D91&lt;入力!$C$17,NA(),IF(D91&gt;入力!$H$48,NA(),D91))</f>
        <v>96</v>
      </c>
      <c r="F91" s="55">
        <f>IF(E91&gt;入力!$C$17,IF(S90&gt;=P90,P91,(F90-L90)*(1-$B$27)),IF(E91=入力!$C$17,入力!$C$18,NA()))</f>
        <v>453.00436555367423</v>
      </c>
      <c r="G91" s="49">
        <f>'樹高計算 '!N89</f>
        <v>32.012104399044432</v>
      </c>
      <c r="H91" s="49">
        <f>直径材積計算!L204</f>
        <v>919.35565852765865</v>
      </c>
      <c r="I91" s="49">
        <f>直径材積計算!I204</f>
        <v>43.40128287415029</v>
      </c>
      <c r="J91" s="84">
        <f t="shared" si="15"/>
        <v>2.0294631320031478</v>
      </c>
      <c r="K91" s="84">
        <f>ROUNDDOWN(直径材積計算!X204,2)</f>
        <v>0.66</v>
      </c>
      <c r="L91" s="55">
        <f t="shared" si="11"/>
        <v>0</v>
      </c>
      <c r="M91" s="62">
        <f t="shared" si="12"/>
        <v>0</v>
      </c>
      <c r="N91" s="62">
        <f t="shared" si="18"/>
        <v>0</v>
      </c>
      <c r="O91" s="49">
        <f>直径材積計算!U204</f>
        <v>0</v>
      </c>
      <c r="P91" s="204">
        <f>直径材積計算!K88</f>
        <v>1632.9164655851594</v>
      </c>
      <c r="Q91" s="204">
        <f>VLOOKUP(G91,密度計算!A116:Q116,$AA$4,FALSE)</f>
        <v>433.11746724106609</v>
      </c>
      <c r="R91" s="49">
        <f>VLOOKUP(G91,密度計算!A116:Q116,$AA$5,FALSE)</f>
        <v>583.55128132149321</v>
      </c>
      <c r="S91" s="55">
        <f>直径材積計算!N204</f>
        <v>453.00436555367423</v>
      </c>
      <c r="T91" s="49">
        <f>直径材積計算!T204</f>
        <v>919.35565852765865</v>
      </c>
      <c r="U91" s="49">
        <f>直径材積計算!S204</f>
        <v>43.40128287415029</v>
      </c>
      <c r="V91" s="84">
        <f>直径材積計算!Y204</f>
        <v>0.66510167089363792</v>
      </c>
      <c r="W91" s="55" t="str">
        <f t="shared" si="13"/>
        <v/>
      </c>
      <c r="X91" s="55" t="e">
        <f t="shared" si="16"/>
        <v>#VALUE!</v>
      </c>
      <c r="Y91" s="153">
        <v>96</v>
      </c>
      <c r="Z91" s="191">
        <f t="shared" si="17"/>
        <v>0</v>
      </c>
    </row>
    <row r="92" spans="4:26">
      <c r="D92" s="48">
        <v>97</v>
      </c>
      <c r="E92" s="48">
        <f>IF(D92&lt;入力!$C$17,NA(),IF(D92&gt;入力!$H$48,NA(),D92))</f>
        <v>97</v>
      </c>
      <c r="F92" s="55">
        <f>IF(E92&gt;入力!$C$17,IF(S91&gt;=P91,P92,(F91-L91)*(1-$B$27)),IF(E92=入力!$C$17,入力!$C$18,NA()))</f>
        <v>453.00436555367423</v>
      </c>
      <c r="G92" s="49">
        <f>'樹高計算 '!N90</f>
        <v>32.085961050702814</v>
      </c>
      <c r="H92" s="49">
        <f>直径材積計算!L205</f>
        <v>923.57762407951543</v>
      </c>
      <c r="I92" s="49">
        <f>直径材積計算!I205</f>
        <v>43.453564308337434</v>
      </c>
      <c r="J92" s="84">
        <f t="shared" si="15"/>
        <v>2.0387830544429604</v>
      </c>
      <c r="K92" s="84">
        <f>ROUNDDOWN(直径材積計算!X205,2)</f>
        <v>0.66</v>
      </c>
      <c r="L92" s="55">
        <f t="shared" si="11"/>
        <v>0</v>
      </c>
      <c r="M92" s="62">
        <f t="shared" si="12"/>
        <v>0</v>
      </c>
      <c r="N92" s="62">
        <f t="shared" si="18"/>
        <v>0</v>
      </c>
      <c r="O92" s="49">
        <f>直径材積計算!U205</f>
        <v>0</v>
      </c>
      <c r="P92" s="204">
        <f>直径材積計算!K89</f>
        <v>1630.9346208424913</v>
      </c>
      <c r="Q92" s="204">
        <f>VLOOKUP(G92,密度計算!A117:Q117,$AA$4,FALSE)</f>
        <v>431.77489770475262</v>
      </c>
      <c r="R92" s="49">
        <f>VLOOKUP(G92,密度計算!A117:Q117,$AA$5,FALSE)</f>
        <v>581.74239982297149</v>
      </c>
      <c r="S92" s="55">
        <f>直径材積計算!N205</f>
        <v>453.00436555367423</v>
      </c>
      <c r="T92" s="49">
        <f>直径材積計算!T205</f>
        <v>923.57762407951543</v>
      </c>
      <c r="U92" s="49">
        <f>直径材積計算!S205</f>
        <v>43.453564308337434</v>
      </c>
      <c r="V92" s="84">
        <f>直径材積計算!Y205</f>
        <v>0.66614651414044157</v>
      </c>
      <c r="W92" s="55" t="str">
        <f t="shared" si="13"/>
        <v/>
      </c>
      <c r="X92" s="55" t="e">
        <f t="shared" si="16"/>
        <v>#VALUE!</v>
      </c>
      <c r="Y92" s="153">
        <v>97</v>
      </c>
      <c r="Z92" s="191">
        <f t="shared" si="17"/>
        <v>0</v>
      </c>
    </row>
    <row r="93" spans="4:26">
      <c r="D93" s="48">
        <v>98</v>
      </c>
      <c r="E93" s="48">
        <f>IF(D93&lt;入力!$C$17,NA(),IF(D93&gt;入力!$H$48,NA(),D93))</f>
        <v>98</v>
      </c>
      <c r="F93" s="55">
        <f>IF(E93&gt;入力!$C$17,IF(S92&gt;=P92,P93,(F92-L92)*(1-$B$27)),IF(E93=入力!$C$17,入力!$C$18,NA()))</f>
        <v>453.00436555367423</v>
      </c>
      <c r="G93" s="49">
        <f>'樹高計算 '!N91</f>
        <v>32.157855380669837</v>
      </c>
      <c r="H93" s="49">
        <f>直径材積計算!L206</f>
        <v>927.69451003272741</v>
      </c>
      <c r="I93" s="49">
        <f>直径材積計算!I206</f>
        <v>43.504343078514694</v>
      </c>
      <c r="J93" s="84">
        <f t="shared" si="15"/>
        <v>2.0478710153242652</v>
      </c>
      <c r="K93" s="84">
        <f>ROUNDDOWN(直径材積計算!X206,2)</f>
        <v>0.66</v>
      </c>
      <c r="L93" s="55">
        <f t="shared" si="11"/>
        <v>0</v>
      </c>
      <c r="M93" s="62">
        <f t="shared" si="12"/>
        <v>0</v>
      </c>
      <c r="N93" s="62">
        <f t="shared" si="18"/>
        <v>0</v>
      </c>
      <c r="O93" s="49">
        <f>直径材積計算!U206</f>
        <v>0</v>
      </c>
      <c r="P93" s="204">
        <f>直径材積計算!K90</f>
        <v>1629.0084759869121</v>
      </c>
      <c r="Q93" s="204">
        <f>VLOOKUP(G93,密度計算!A118:Q118,$AA$4,FALSE)</f>
        <v>430.4749482230348</v>
      </c>
      <c r="R93" s="49">
        <f>VLOOKUP(G93,密度計算!A118:Q118,$AA$5,FALSE)</f>
        <v>579.99094151642521</v>
      </c>
      <c r="S93" s="55">
        <f>直径材積計算!N206</f>
        <v>453.00436555367423</v>
      </c>
      <c r="T93" s="49">
        <f>直径材積計算!T206</f>
        <v>927.69451003272741</v>
      </c>
      <c r="U93" s="49">
        <f>直径材積計算!S206</f>
        <v>43.504343078514694</v>
      </c>
      <c r="V93" s="84">
        <f>直径材積計算!Y206</f>
        <v>0.66716132159342634</v>
      </c>
      <c r="W93" s="55" t="str">
        <f t="shared" si="13"/>
        <v/>
      </c>
      <c r="X93" s="55" t="e">
        <f t="shared" si="16"/>
        <v>#VALUE!</v>
      </c>
      <c r="Y93" s="153">
        <v>98</v>
      </c>
      <c r="Z93" s="191">
        <f t="shared" si="17"/>
        <v>0</v>
      </c>
    </row>
    <row r="94" spans="4:26">
      <c r="D94" s="48">
        <v>99</v>
      </c>
      <c r="E94" s="48">
        <f>IF(D94&lt;入力!$C$17,NA(),IF(D94&gt;入力!$H$48,NA(),D94))</f>
        <v>99</v>
      </c>
      <c r="F94" s="55">
        <f>IF(E94&gt;入力!$C$17,IF(S93&gt;=P93,P94,(F93-L93)*(1-$B$27)),IF(E94=入力!$C$17,入力!$C$18,NA()))</f>
        <v>453.00436555367423</v>
      </c>
      <c r="G94" s="49">
        <f>'樹高計算 '!N92</f>
        <v>32.227839725188701</v>
      </c>
      <c r="H94" s="49">
        <f>直径材積計算!L207</f>
        <v>931.70873395930425</v>
      </c>
      <c r="I94" s="49">
        <f>直径材積計算!I207</f>
        <v>43.553665563076713</v>
      </c>
      <c r="J94" s="84">
        <f t="shared" si="15"/>
        <v>2.0567323513991846</v>
      </c>
      <c r="K94" s="84">
        <f>ROUNDDOWN(直径材積計算!X207,2)</f>
        <v>0.66</v>
      </c>
      <c r="L94" s="55">
        <f t="shared" si="11"/>
        <v>0</v>
      </c>
      <c r="M94" s="62">
        <f t="shared" si="12"/>
        <v>0</v>
      </c>
      <c r="N94" s="62">
        <f t="shared" si="18"/>
        <v>0</v>
      </c>
      <c r="O94" s="49">
        <f>直径材積計算!U207</f>
        <v>0</v>
      </c>
      <c r="P94" s="204">
        <f>直径材積計算!K91</f>
        <v>1627.1363844991058</v>
      </c>
      <c r="Q94" s="204">
        <f>VLOOKUP(G94,密度計算!A119:Q119,$AA$4,FALSE)</f>
        <v>429.21606933666874</v>
      </c>
      <c r="R94" s="49">
        <f>VLOOKUP(G94,密度計算!A119:Q119,$AA$5,FALSE)</f>
        <v>578.29481877206456</v>
      </c>
      <c r="S94" s="55">
        <f>直径材積計算!N207</f>
        <v>453.00436555367423</v>
      </c>
      <c r="T94" s="49">
        <f>直径材積計算!T207</f>
        <v>931.70873395930425</v>
      </c>
      <c r="U94" s="49">
        <f>直径材積計算!S207</f>
        <v>43.553665563076713</v>
      </c>
      <c r="V94" s="84">
        <f>直径材積計算!Y207</f>
        <v>0.66814701850950931</v>
      </c>
      <c r="W94" s="55" t="str">
        <f t="shared" si="13"/>
        <v/>
      </c>
      <c r="X94" s="55" t="e">
        <f t="shared" si="16"/>
        <v>#VALUE!</v>
      </c>
      <c r="Y94" s="153">
        <v>99</v>
      </c>
      <c r="Z94" s="191">
        <f t="shared" si="17"/>
        <v>0</v>
      </c>
    </row>
    <row r="95" spans="4:26">
      <c r="D95" s="48">
        <v>100</v>
      </c>
      <c r="E95" s="48">
        <f>IF(D95&lt;入力!$C$17,NA(),IF(D95&gt;入力!$H$48,NA(),D95))</f>
        <v>100</v>
      </c>
      <c r="F95" s="55">
        <f>IF(E95&gt;入力!$C$17,IF(S94&gt;=P94,P95,(F94-L94)*(1-$B$27)),IF(E95=入力!$C$17,入力!$C$18,NA()))</f>
        <v>453.00436555367423</v>
      </c>
      <c r="G95" s="49">
        <f>'樹高計算 '!N93</f>
        <v>32.295965004303454</v>
      </c>
      <c r="H95" s="49">
        <f>直径材積計算!L208</f>
        <v>935.62266911468214</v>
      </c>
      <c r="I95" s="49">
        <f>直径材積計算!I208</f>
        <v>43.601576528755324</v>
      </c>
      <c r="J95" s="84">
        <f t="shared" si="15"/>
        <v>2.0653723015917049</v>
      </c>
      <c r="K95" s="84">
        <f>ROUNDDOWN(直径材積計算!X208,2)</f>
        <v>0.66</v>
      </c>
      <c r="L95" s="55">
        <f t="shared" si="11"/>
        <v>0</v>
      </c>
      <c r="M95" s="62">
        <f t="shared" si="12"/>
        <v>0</v>
      </c>
      <c r="N95" s="62">
        <f t="shared" si="18"/>
        <v>0</v>
      </c>
      <c r="O95" s="49">
        <f>直径材積計算!U208</f>
        <v>0</v>
      </c>
      <c r="P95" s="204">
        <f>直径材積計算!K92</f>
        <v>1625.3167528764632</v>
      </c>
      <c r="Q95" s="204">
        <f>VLOOKUP(G95,密度計算!A120:Q120,$AA$4,FALSE)</f>
        <v>427.99677921222047</v>
      </c>
      <c r="R95" s="49">
        <f>VLOOKUP(G95,密度計算!A120:Q120,$AA$5,FALSE)</f>
        <v>576.65203507424519</v>
      </c>
      <c r="S95" s="55">
        <f>直径材積計算!N208</f>
        <v>453.00436555367423</v>
      </c>
      <c r="T95" s="49">
        <f>直径材積計算!T208</f>
        <v>935.62266911468214</v>
      </c>
      <c r="U95" s="49">
        <f>直径材積計算!S208</f>
        <v>43.601576528755324</v>
      </c>
      <c r="V95" s="84">
        <f>直径材積計算!Y208</f>
        <v>0.66910449825042284</v>
      </c>
      <c r="W95" s="55" t="str">
        <f t="shared" si="13"/>
        <v/>
      </c>
      <c r="X95" s="55" t="e">
        <f t="shared" si="16"/>
        <v>#VALUE!</v>
      </c>
      <c r="Y95" s="153">
        <v>100</v>
      </c>
      <c r="Z95" s="191">
        <f t="shared" si="17"/>
        <v>0</v>
      </c>
    </row>
    <row r="96" spans="4:26">
      <c r="D96" s="48">
        <v>101</v>
      </c>
      <c r="E96" s="48">
        <f>IF(D96&lt;入力!$C$17,NA(),IF(D96&gt;入力!$H$48,NA(),D96))</f>
        <v>101</v>
      </c>
      <c r="F96" s="55">
        <f>IF(E96&gt;入力!$C$17,IF(S95&gt;=P95,P96,(F95-L95)*(1-$B$27)),IF(E96=入力!$C$17,入力!$C$18,NA()))</f>
        <v>453.00436555367423</v>
      </c>
      <c r="G96" s="49">
        <f>'樹高計算 '!N94</f>
        <v>32.362280761840779</v>
      </c>
      <c r="H96" s="49">
        <f>直径材積計算!L209</f>
        <v>939.43864452779019</v>
      </c>
      <c r="I96" s="49">
        <f>直径材積計算!I209</f>
        <v>43.648119196664787</v>
      </c>
      <c r="J96" s="84">
        <f t="shared" si="15"/>
        <v>2.0737960071964929</v>
      </c>
      <c r="K96" s="84">
        <f>ROUNDDOWN(直径材積計算!X209,2)</f>
        <v>0.67</v>
      </c>
      <c r="L96" s="55">
        <f t="shared" si="11"/>
        <v>0</v>
      </c>
      <c r="M96" s="62">
        <f t="shared" si="12"/>
        <v>0</v>
      </c>
      <c r="N96" s="62">
        <f t="shared" si="18"/>
        <v>0</v>
      </c>
      <c r="O96" s="49">
        <f>直径材積計算!U209</f>
        <v>0</v>
      </c>
      <c r="P96" s="204">
        <f>直径材積計算!K93</f>
        <v>1623.5480387027362</v>
      </c>
      <c r="Q96" s="204">
        <f>VLOOKUP(G96,密度計算!A121:Q121,$AA$4,FALSE)</f>
        <v>426.81566004830103</v>
      </c>
      <c r="R96" s="49">
        <f>VLOOKUP(G96,密度計算!A121:Q121,$AA$5,FALSE)</f>
        <v>575.06068017948871</v>
      </c>
      <c r="S96" s="55">
        <f>直径材積計算!N209</f>
        <v>453.00436555367423</v>
      </c>
      <c r="T96" s="49">
        <f>直径材積計算!T209</f>
        <v>939.43864452779019</v>
      </c>
      <c r="U96" s="49">
        <f>直径材積計算!S209</f>
        <v>43.648119196664787</v>
      </c>
      <c r="V96" s="84">
        <f>直径材積計算!Y209</f>
        <v>0.67003462356359378</v>
      </c>
      <c r="W96" s="55" t="str">
        <f t="shared" si="13"/>
        <v/>
      </c>
      <c r="X96" s="55" t="e">
        <f t="shared" si="16"/>
        <v>#VALUE!</v>
      </c>
      <c r="Y96" s="153">
        <v>101</v>
      </c>
      <c r="Z96" s="191">
        <f t="shared" si="17"/>
        <v>0</v>
      </c>
    </row>
    <row r="97" spans="4:26">
      <c r="D97" s="48">
        <v>102</v>
      </c>
      <c r="E97" s="48">
        <f>IF(D97&lt;入力!$C$17,NA(),IF(D97&gt;入力!$H$48,NA(),D97))</f>
        <v>102</v>
      </c>
      <c r="F97" s="55">
        <f>IF(E97&gt;入力!$C$17,IF(S96&gt;=P96,P97,(F96-L96)*(1-$B$27)),IF(E97=入力!$C$17,入力!$C$18,NA()))</f>
        <v>453.00436555367423</v>
      </c>
      <c r="G97" s="49">
        <f>'樹高計算 '!N95</f>
        <v>32.426835204152212</v>
      </c>
      <c r="H97" s="49">
        <f>直径材積計算!L210</f>
        <v>943.1589451515307</v>
      </c>
      <c r="I97" s="49">
        <f>直径材積計算!I210</f>
        <v>43.693335305105641</v>
      </c>
      <c r="J97" s="84">
        <f t="shared" si="15"/>
        <v>2.0820085122110825</v>
      </c>
      <c r="K97" s="84">
        <f>ROUNDDOWN(直径材積計算!X210,2)</f>
        <v>0.67</v>
      </c>
      <c r="L97" s="55">
        <f t="shared" si="11"/>
        <v>0</v>
      </c>
      <c r="M97" s="62">
        <f t="shared" si="12"/>
        <v>0</v>
      </c>
      <c r="N97" s="62">
        <f t="shared" si="18"/>
        <v>0</v>
      </c>
      <c r="O97" s="49">
        <f>直径材積計算!U210</f>
        <v>0</v>
      </c>
      <c r="P97" s="204">
        <f>直径材積計算!K94</f>
        <v>1621.8287487982466</v>
      </c>
      <c r="Q97" s="204">
        <f>VLOOKUP(G97,密度計算!A122:Q122,$AA$4,FALSE)</f>
        <v>425.67135470935023</v>
      </c>
      <c r="R97" s="49">
        <f>VLOOKUP(G97,密度計算!A122:Q122,$AA$5,FALSE)</f>
        <v>573.51892558108534</v>
      </c>
      <c r="S97" s="55">
        <f>直径材積計算!N210</f>
        <v>453.00436555367423</v>
      </c>
      <c r="T97" s="49">
        <f>直径材積計算!T210</f>
        <v>943.1589451515307</v>
      </c>
      <c r="U97" s="49">
        <f>直径材積計算!S210</f>
        <v>43.693335305105641</v>
      </c>
      <c r="V97" s="84">
        <f>直径材積計算!Y210</f>
        <v>0.67093822780246259</v>
      </c>
      <c r="W97" s="55" t="str">
        <f t="shared" si="13"/>
        <v/>
      </c>
      <c r="X97" s="55" t="e">
        <f t="shared" si="16"/>
        <v>#VALUE!</v>
      </c>
      <c r="Y97" s="153">
        <v>102</v>
      </c>
      <c r="Z97" s="191">
        <f t="shared" si="17"/>
        <v>0</v>
      </c>
    </row>
    <row r="98" spans="4:26">
      <c r="D98" s="48">
        <v>103</v>
      </c>
      <c r="E98" s="48">
        <f>IF(D98&lt;入力!$C$17,NA(),IF(D98&gt;入力!$H$48,NA(),D98))</f>
        <v>103</v>
      </c>
      <c r="F98" s="55">
        <f>IF(E98&gt;入力!$C$17,IF(S97&gt;=P97,P98,(F97-L97)*(1-$B$27)),IF(E98=入力!$C$17,入力!$C$18,NA()))</f>
        <v>453.00436555367423</v>
      </c>
      <c r="G98" s="49">
        <f>'樹高計算 '!N96</f>
        <v>32.489675237659988</v>
      </c>
      <c r="H98" s="49">
        <f>直径材積計算!L211</f>
        <v>946.78581206804131</v>
      </c>
      <c r="I98" s="49">
        <f>直径材積計算!I211</f>
        <v>43.737265169312209</v>
      </c>
      <c r="J98" s="84">
        <f t="shared" si="15"/>
        <v>2.0900147637889845</v>
      </c>
      <c r="K98" s="84">
        <f>ROUNDDOWN(直径材積計算!X211,2)</f>
        <v>0.67</v>
      </c>
      <c r="L98" s="55">
        <f t="shared" si="11"/>
        <v>0</v>
      </c>
      <c r="M98" s="62">
        <f t="shared" si="12"/>
        <v>0</v>
      </c>
      <c r="N98" s="62">
        <f t="shared" si="18"/>
        <v>0</v>
      </c>
      <c r="O98" s="49">
        <f>直径材積計算!U211</f>
        <v>0</v>
      </c>
      <c r="P98" s="204">
        <f>直径材積計算!K95</f>
        <v>1620.1574374469444</v>
      </c>
      <c r="Q98" s="204">
        <f>VLOOKUP(G98,密度計算!A123:Q123,$AA$4,FALSE)</f>
        <v>424.56256357036062</v>
      </c>
      <c r="R98" s="49">
        <f>VLOOKUP(G98,密度計算!A123:Q123,$AA$5,FALSE)</f>
        <v>572.02502025790159</v>
      </c>
      <c r="S98" s="55">
        <f>直径材積計算!N211</f>
        <v>453.00436555367423</v>
      </c>
      <c r="T98" s="49">
        <f>直径材積計算!T211</f>
        <v>946.78581206804131</v>
      </c>
      <c r="U98" s="49">
        <f>直径材積計算!S211</f>
        <v>43.737265169312209</v>
      </c>
      <c r="V98" s="84">
        <f>直径材積計算!Y211</f>
        <v>0.67181611608951464</v>
      </c>
      <c r="W98" s="55" t="str">
        <f t="shared" si="13"/>
        <v/>
      </c>
      <c r="X98" s="55" t="e">
        <f t="shared" si="16"/>
        <v>#VALUE!</v>
      </c>
      <c r="Y98" s="153">
        <v>103</v>
      </c>
      <c r="Z98" s="191">
        <f t="shared" si="17"/>
        <v>0</v>
      </c>
    </row>
    <row r="99" spans="4:26">
      <c r="D99" s="48">
        <v>104</v>
      </c>
      <c r="E99" s="48">
        <f>IF(D99&lt;入力!$C$17,NA(),IF(D99&gt;入力!$H$48,NA(),D99))</f>
        <v>104</v>
      </c>
      <c r="F99" s="55">
        <f>IF(E99&gt;入力!$C$17,IF(S98&gt;=P98,P99,(F98-L98)*(1-$B$27)),IF(E99=入力!$C$17,入力!$C$18,NA()))</f>
        <v>453.00436555367423</v>
      </c>
      <c r="G99" s="49">
        <f>'樹高計算 '!N97</f>
        <v>32.550846505248529</v>
      </c>
      <c r="H99" s="49">
        <f>直径材積計算!L212</f>
        <v>950.3214427435679</v>
      </c>
      <c r="I99" s="49">
        <f>直径材積計算!I212</f>
        <v>43.779947738318036</v>
      </c>
      <c r="J99" s="84">
        <f t="shared" si="15"/>
        <v>2.0978196128023163</v>
      </c>
      <c r="K99" s="84">
        <f>ROUNDDOWN(直径材積計算!X212,2)</f>
        <v>0.67</v>
      </c>
      <c r="L99" s="55">
        <f t="shared" si="11"/>
        <v>0</v>
      </c>
      <c r="M99" s="62">
        <f t="shared" si="12"/>
        <v>0</v>
      </c>
      <c r="N99" s="62">
        <f t="shared" si="18"/>
        <v>0</v>
      </c>
      <c r="O99" s="49">
        <f>直径材積計算!U212</f>
        <v>0</v>
      </c>
      <c r="P99" s="204">
        <f>直径材積計算!K96</f>
        <v>1618.5327046967875</v>
      </c>
      <c r="Q99" s="204">
        <f>VLOOKUP(G99,密度計算!A124:Q124,$AA$4,FALSE)</f>
        <v>423.48804155729908</v>
      </c>
      <c r="R99" s="49">
        <f>VLOOKUP(G99,密度計算!A124:Q124,$AA$5,FALSE)</f>
        <v>570.57728668685809</v>
      </c>
      <c r="S99" s="55">
        <f>直径材積計算!N212</f>
        <v>453.00436555367423</v>
      </c>
      <c r="T99" s="49">
        <f>直径材積計算!T212</f>
        <v>950.3214427435679</v>
      </c>
      <c r="U99" s="49">
        <f>直径材積計算!S212</f>
        <v>43.779947738318036</v>
      </c>
      <c r="V99" s="84">
        <f>直径材積計算!Y212</f>
        <v>0.67266906642510582</v>
      </c>
      <c r="W99" s="55" t="str">
        <f t="shared" si="13"/>
        <v/>
      </c>
      <c r="X99" s="55" t="e">
        <f t="shared" si="16"/>
        <v>#VALUE!</v>
      </c>
      <c r="Y99" s="153">
        <v>104</v>
      </c>
      <c r="Z99" s="191">
        <f t="shared" si="17"/>
        <v>0</v>
      </c>
    </row>
    <row r="100" spans="4:26">
      <c r="D100" s="48">
        <v>105</v>
      </c>
      <c r="E100" s="48">
        <f>IF(D100&lt;入力!$C$17,NA(),IF(D100&gt;入力!$H$48,NA(),D100))</f>
        <v>105</v>
      </c>
      <c r="F100" s="55">
        <f>IF(E100&gt;入力!$C$17,IF(S99&gt;=P99,P100,(F99-L99)*(1-$B$27)),IF(E100=入力!$C$17,入力!$C$18,NA()))</f>
        <v>453.00436555367423</v>
      </c>
      <c r="G100" s="49">
        <f>'樹高計算 '!N98</f>
        <v>32.610393421542035</v>
      </c>
      <c r="H100" s="49">
        <f>直径材積計算!L213</f>
        <v>953.76799132818962</v>
      </c>
      <c r="I100" s="49">
        <f>直径材積計算!I213</f>
        <v>43.82142064910196</v>
      </c>
      <c r="J100" s="84">
        <f t="shared" si="15"/>
        <v>2.1054278145034395</v>
      </c>
      <c r="K100" s="84">
        <f>ROUNDDOWN(直径材積計算!X213,2)</f>
        <v>0.67</v>
      </c>
      <c r="L100" s="55">
        <f t="shared" si="11"/>
        <v>0</v>
      </c>
      <c r="M100" s="62">
        <f t="shared" si="12"/>
        <v>0</v>
      </c>
      <c r="N100" s="62">
        <f t="shared" si="18"/>
        <v>0</v>
      </c>
      <c r="O100" s="49">
        <f>直径材積計算!U213</f>
        <v>0</v>
      </c>
      <c r="P100" s="204">
        <f>直径材積計算!K97</f>
        <v>1616.9531947300475</v>
      </c>
      <c r="Q100" s="204">
        <f>VLOOKUP(G100,密度計算!A125:Q125,$AA$4,FALSE)</f>
        <v>422.44659536921324</v>
      </c>
      <c r="R100" s="49">
        <f>VLOOKUP(G100,密度計算!A125:Q125,$AA$5,FALSE)</f>
        <v>569.17411710019576</v>
      </c>
      <c r="S100" s="55">
        <f>直径材積計算!N213</f>
        <v>453.00436555367423</v>
      </c>
      <c r="T100" s="49">
        <f>直径材積計算!T213</f>
        <v>953.76799132818962</v>
      </c>
      <c r="U100" s="49">
        <f>直径材積計算!S213</f>
        <v>43.82142064910196</v>
      </c>
      <c r="V100" s="84">
        <f>直径材積計算!Y213</f>
        <v>0.67349783074498371</v>
      </c>
      <c r="W100" s="55" t="str">
        <f t="shared" si="13"/>
        <v/>
      </c>
      <c r="X100" s="55" t="e">
        <f t="shared" si="16"/>
        <v>#VALUE!</v>
      </c>
      <c r="Y100" s="153">
        <v>105</v>
      </c>
      <c r="Z100" s="191">
        <f t="shared" si="17"/>
        <v>0</v>
      </c>
    </row>
    <row r="101" spans="4:26">
      <c r="D101" s="48">
        <v>106</v>
      </c>
      <c r="E101" s="48">
        <f>IF(D101&lt;入力!$C$17,NA(),IF(D101&gt;入力!$H$48,NA(),D101))</f>
        <v>106</v>
      </c>
      <c r="F101" s="55">
        <f>IF(E101&gt;入力!$C$17,IF(S100&gt;=P100,P101,(F100-L100)*(1-$B$27)),IF(E101=入力!$C$17,入力!$C$18,NA()))</f>
        <v>453.00436555367423</v>
      </c>
      <c r="G101" s="49">
        <f>'樹高計算 '!N99</f>
        <v>32.668359207107322</v>
      </c>
      <c r="H101" s="49">
        <f>直径材積計算!L214</f>
        <v>957.12756899598719</v>
      </c>
      <c r="I101" s="49">
        <f>直径材積計算!I214</f>
        <v>43.861720278166928</v>
      </c>
      <c r="J101" s="84">
        <f t="shared" si="15"/>
        <v>2.1128440292758768</v>
      </c>
      <c r="K101" s="84">
        <f>ROUNDDOWN(直径材積計算!X214,2)</f>
        <v>0.67</v>
      </c>
      <c r="L101" s="55">
        <f t="shared" ref="L101:L115" si="19">IF(F101-R101&lt;0,0,ROUNDUP(F101-Q101,-1))</f>
        <v>0</v>
      </c>
      <c r="M101" s="62">
        <f t="shared" ref="M101:M115" si="20">L101/F101</f>
        <v>0</v>
      </c>
      <c r="N101" s="62">
        <f t="shared" si="18"/>
        <v>0</v>
      </c>
      <c r="O101" s="49">
        <f>直径材積計算!U214</f>
        <v>0</v>
      </c>
      <c r="P101" s="204">
        <f>直径材積計算!K98</f>
        <v>1615.4175943003406</v>
      </c>
      <c r="Q101" s="204">
        <f>VLOOKUP(G101,密度計算!A126:Q126,$AA$4,FALSE)</f>
        <v>421.43708086914268</v>
      </c>
      <c r="R101" s="49">
        <f>VLOOKUP(G101,密度計算!A126:Q126,$AA$5,FALSE)</f>
        <v>567.81396997017725</v>
      </c>
      <c r="S101" s="55">
        <f>直径材積計算!N214</f>
        <v>453.00436555367423</v>
      </c>
      <c r="T101" s="49">
        <f>直径材積計算!T214</f>
        <v>957.12756899598719</v>
      </c>
      <c r="U101" s="49">
        <f>直径材積計算!S214</f>
        <v>43.861720278166928</v>
      </c>
      <c r="V101" s="84">
        <f>直径材積計算!Y214</f>
        <v>0.67430313592923674</v>
      </c>
      <c r="W101" s="55" t="str">
        <f t="shared" ref="W101:W115" si="21">IF(N101=0,"",D101)</f>
        <v/>
      </c>
      <c r="X101" s="55" t="e">
        <f t="shared" si="16"/>
        <v>#VALUE!</v>
      </c>
      <c r="Y101" s="153">
        <v>106</v>
      </c>
      <c r="Z101" s="191">
        <f t="shared" si="17"/>
        <v>0</v>
      </c>
    </row>
    <row r="102" spans="4:26">
      <c r="D102" s="48">
        <v>107</v>
      </c>
      <c r="E102" s="48">
        <f>IF(D102&lt;入力!$C$17,NA(),IF(D102&gt;入力!$H$48,NA(),D102))</f>
        <v>107</v>
      </c>
      <c r="F102" s="55">
        <f>IF(E102&gt;入力!$C$17,IF(S101&gt;=P101,P102,(F101-L101)*(1-$B$27)),IF(E102=入力!$C$17,入力!$C$18,NA()))</f>
        <v>453.00436555367423</v>
      </c>
      <c r="G102" s="49">
        <f>'樹高計算 '!N100</f>
        <v>32.724785921619691</v>
      </c>
      <c r="H102" s="49">
        <f>直径材積計算!L215</f>
        <v>960.40224432164712</v>
      </c>
      <c r="I102" s="49">
        <f>直径材積計算!I215</f>
        <v>43.900881790695273</v>
      </c>
      <c r="J102" s="84">
        <f t="shared" si="15"/>
        <v>2.1200728234656578</v>
      </c>
      <c r="K102" s="84">
        <f>ROUNDDOWN(直径材積計算!X215,2)</f>
        <v>0.67</v>
      </c>
      <c r="L102" s="55">
        <f t="shared" si="19"/>
        <v>0</v>
      </c>
      <c r="M102" s="62">
        <f t="shared" si="20"/>
        <v>0</v>
      </c>
      <c r="N102" s="62">
        <f t="shared" si="18"/>
        <v>0</v>
      </c>
      <c r="O102" s="49">
        <f>直径材積計算!U215</f>
        <v>0</v>
      </c>
      <c r="P102" s="204">
        <f>直径材積計算!K99</f>
        <v>1613.9246312332959</v>
      </c>
      <c r="Q102" s="204">
        <f>VLOOKUP(G102,密度計算!A127:Q127,$AA$4,FALSE)</f>
        <v>420.45840063197136</v>
      </c>
      <c r="R102" s="49">
        <f>VLOOKUP(G102,密度計算!A127:Q127,$AA$5,FALSE)</f>
        <v>566.49536670524014</v>
      </c>
      <c r="S102" s="55">
        <f>直径材積計算!N215</f>
        <v>453.00436555367423</v>
      </c>
      <c r="T102" s="49">
        <f>直径材積計算!T215</f>
        <v>960.40224432164712</v>
      </c>
      <c r="U102" s="49">
        <f>直径材積計算!S215</f>
        <v>43.900881790695273</v>
      </c>
      <c r="V102" s="84">
        <f>直径材積計算!Y215</f>
        <v>0.675085684765247</v>
      </c>
      <c r="W102" s="55" t="str">
        <f t="shared" si="21"/>
        <v/>
      </c>
      <c r="X102" s="55" t="e">
        <f t="shared" si="16"/>
        <v>#VALUE!</v>
      </c>
      <c r="Y102" s="153">
        <v>107</v>
      </c>
      <c r="Z102" s="191">
        <f t="shared" si="17"/>
        <v>0</v>
      </c>
    </row>
    <row r="103" spans="4:26">
      <c r="D103" s="48">
        <v>108</v>
      </c>
      <c r="E103" s="48">
        <f>IF(D103&lt;入力!$C$17,NA(),IF(D103&gt;入力!$H$48,NA(),D103))</f>
        <v>108</v>
      </c>
      <c r="F103" s="55">
        <f>IF(E103&gt;入力!$C$17,IF(S102&gt;=P102,P103,(F102-L102)*(1-$B$27)),IF(E103=入力!$C$17,入力!$C$18,NA()))</f>
        <v>453.00436555367423</v>
      </c>
      <c r="G103" s="49">
        <f>'樹高計算 '!N101</f>
        <v>32.779714496027857</v>
      </c>
      <c r="H103" s="49">
        <f>直径材積計算!L216</f>
        <v>963.59404368972287</v>
      </c>
      <c r="I103" s="49">
        <f>直径材積計算!I216</f>
        <v>43.938939187413446</v>
      </c>
      <c r="J103" s="84">
        <f t="shared" si="15"/>
        <v>2.12711867028476</v>
      </c>
      <c r="K103" s="84">
        <f>ROUNDDOWN(直径材積計算!X216,2)</f>
        <v>0.67</v>
      </c>
      <c r="L103" s="55">
        <f t="shared" si="19"/>
        <v>0</v>
      </c>
      <c r="M103" s="62">
        <f t="shared" si="20"/>
        <v>0</v>
      </c>
      <c r="N103" s="62">
        <f t="shared" si="18"/>
        <v>0</v>
      </c>
      <c r="O103" s="49">
        <f>直径材積計算!U216</f>
        <v>0</v>
      </c>
      <c r="P103" s="204">
        <f>直径材積計算!K100</f>
        <v>1612.4730729879557</v>
      </c>
      <c r="Q103" s="204">
        <f>VLOOKUP(G103,密度計算!A128:Q128,$AA$4,FALSE)</f>
        <v>419.50950163831413</v>
      </c>
      <c r="R103" s="49">
        <f>VLOOKUP(G103,密度計算!A128:Q128,$AA$5,FALSE)</f>
        <v>565.21688854290574</v>
      </c>
      <c r="S103" s="55">
        <f>直径材積計算!N216</f>
        <v>453.00436555367423</v>
      </c>
      <c r="T103" s="49">
        <f>直径材積計算!T216</f>
        <v>963.59404368972287</v>
      </c>
      <c r="U103" s="49">
        <f>直径材積計算!S216</f>
        <v>43.938939187413446</v>
      </c>
      <c r="V103" s="84">
        <f>直径材積計算!Y216</f>
        <v>0.67584615686706528</v>
      </c>
      <c r="W103" s="55" t="str">
        <f t="shared" si="21"/>
        <v/>
      </c>
      <c r="X103" s="55" t="e">
        <f t="shared" si="16"/>
        <v>#VALUE!</v>
      </c>
      <c r="Y103" s="153">
        <v>108</v>
      </c>
      <c r="Z103" s="191">
        <f t="shared" si="17"/>
        <v>0</v>
      </c>
    </row>
    <row r="104" spans="4:26">
      <c r="D104" s="48">
        <v>109</v>
      </c>
      <c r="E104" s="48">
        <f>IF(D104&lt;入力!$C$17,NA(),IF(D104&gt;入力!$H$48,NA(),D104))</f>
        <v>109</v>
      </c>
      <c r="F104" s="55">
        <f>IF(E104&gt;入力!$C$17,IF(S103&gt;=P103,P104,(F103-L103)*(1-$B$27)),IF(E104=入力!$C$17,入力!$C$18,NA()))</f>
        <v>453.00436555367423</v>
      </c>
      <c r="G104" s="49">
        <f>'樹高計算 '!N102</f>
        <v>32.833184763753202</v>
      </c>
      <c r="H104" s="49">
        <f>直径材積計算!L217</f>
        <v>966.70495173315635</v>
      </c>
      <c r="I104" s="49">
        <f>直径材積計算!I217</f>
        <v>43.975925349292595</v>
      </c>
      <c r="J104" s="84">
        <f t="shared" si="15"/>
        <v>2.133985950779135</v>
      </c>
      <c r="K104" s="84">
        <f>ROUNDDOWN(直径材積計算!X217,2)</f>
        <v>0.67</v>
      </c>
      <c r="L104" s="55">
        <f t="shared" si="19"/>
        <v>0</v>
      </c>
      <c r="M104" s="62">
        <f t="shared" si="20"/>
        <v>0</v>
      </c>
      <c r="N104" s="62">
        <f t="shared" si="18"/>
        <v>0</v>
      </c>
      <c r="O104" s="49">
        <f>直径材積計算!U217</f>
        <v>0</v>
      </c>
      <c r="P104" s="204">
        <f>直径材積計算!K101</f>
        <v>1611.0617252761119</v>
      </c>
      <c r="Q104" s="204">
        <f>VLOOKUP(G104,密度計算!A129:Q129,$AA$4,FALSE)</f>
        <v>418.58937310436289</v>
      </c>
      <c r="R104" s="49">
        <f>VLOOKUP(G104,密度計算!A129:Q129,$AA$5,FALSE)</f>
        <v>563.97717362586945</v>
      </c>
      <c r="S104" s="55">
        <f>直径材積計算!N217</f>
        <v>453.00436555367423</v>
      </c>
      <c r="T104" s="49">
        <f>直径材積計算!T217</f>
        <v>966.70495173315635</v>
      </c>
      <c r="U104" s="49">
        <f>直径材積計算!S217</f>
        <v>43.975925349292595</v>
      </c>
      <c r="V104" s="84">
        <f>直径材積計算!Y217</f>
        <v>0.67658520955349422</v>
      </c>
      <c r="W104" s="55" t="str">
        <f t="shared" si="21"/>
        <v/>
      </c>
      <c r="X104" s="55" t="e">
        <f t="shared" si="16"/>
        <v>#VALUE!</v>
      </c>
      <c r="Y104" s="153">
        <v>109</v>
      </c>
      <c r="Z104" s="191">
        <f t="shared" si="17"/>
        <v>0</v>
      </c>
    </row>
    <row r="105" spans="4:26">
      <c r="D105" s="48">
        <v>110</v>
      </c>
      <c r="E105" s="48">
        <f>IF(D105&lt;入力!$C$17,NA(),IF(D105&gt;入力!$H$48,NA(),D105))</f>
        <v>110</v>
      </c>
      <c r="F105" s="55">
        <f>IF(E105&gt;入力!$C$17,IF(S104&gt;=P104,P105,(F104-L104)*(1-$B$27)),IF(E105=入力!$C$17,入力!$C$18,NA()))</f>
        <v>453.00436555367423</v>
      </c>
      <c r="G105" s="49">
        <f>'樹高計算 '!N103</f>
        <v>32.885235490956617</v>
      </c>
      <c r="H105" s="49">
        <f>直径材積計算!L218</f>
        <v>969.73691179786033</v>
      </c>
      <c r="I105" s="49">
        <f>直径材積計算!I218</f>
        <v>44.011872080202394</v>
      </c>
      <c r="J105" s="84">
        <f t="shared" si="15"/>
        <v>2.1406789548542684</v>
      </c>
      <c r="K105" s="84">
        <f>ROUNDDOWN(直径材積計算!X218,2)</f>
        <v>0.67</v>
      </c>
      <c r="L105" s="55">
        <f t="shared" si="19"/>
        <v>0</v>
      </c>
      <c r="M105" s="62">
        <f t="shared" si="20"/>
        <v>0</v>
      </c>
      <c r="N105" s="62">
        <f t="shared" si="18"/>
        <v>0</v>
      </c>
      <c r="O105" s="49">
        <f>直径材積計算!U218</f>
        <v>0</v>
      </c>
      <c r="P105" s="204">
        <f>直径材積計算!K102</f>
        <v>1609.6894307369373</v>
      </c>
      <c r="Q105" s="204">
        <f>VLOOKUP(G105,密度計算!A130:Q130,$AA$4,FALSE)</f>
        <v>417.69704443841039</v>
      </c>
      <c r="R105" s="49">
        <f>VLOOKUP(G105,密度計算!A130:Q130,$AA$5,FALSE)</f>
        <v>562.77491424876916</v>
      </c>
      <c r="S105" s="55">
        <f>直径材積計算!N218</f>
        <v>453.00436555367423</v>
      </c>
      <c r="T105" s="49">
        <f>直径材積計算!T218</f>
        <v>969.73691179786033</v>
      </c>
      <c r="U105" s="49">
        <f>直径材積計算!S218</f>
        <v>44.011872080202394</v>
      </c>
      <c r="V105" s="84">
        <f>直径材積計算!Y218</f>
        <v>0.67730347868702678</v>
      </c>
      <c r="W105" s="55" t="str">
        <f t="shared" si="21"/>
        <v/>
      </c>
      <c r="X105" s="55" t="e">
        <f t="shared" si="16"/>
        <v>#VALUE!</v>
      </c>
      <c r="Y105" s="153">
        <v>110</v>
      </c>
      <c r="Z105" s="191">
        <f t="shared" si="17"/>
        <v>0</v>
      </c>
    </row>
    <row r="106" spans="4:26">
      <c r="D106" s="48">
        <v>111</v>
      </c>
      <c r="E106" s="48">
        <f>IF(D106&lt;入力!$C$17,NA(),IF(D106&gt;入力!$H$48,NA(),D106))</f>
        <v>111</v>
      </c>
      <c r="F106" s="55">
        <f>IF(E106&gt;入力!$C$17,IF(S105&gt;=P105,P106,(F105-L105)*(1-$B$27)),IF(E106=入力!$C$17,入力!$C$18,NA()))</f>
        <v>453.00436555367423</v>
      </c>
      <c r="G106" s="49">
        <f>'樹高計算 '!N104</f>
        <v>32.935904405905355</v>
      </c>
      <c r="H106" s="49">
        <f>直径材積計算!L219</f>
        <v>972.69182643045235</v>
      </c>
      <c r="I106" s="49">
        <f>直径材積計算!I219</f>
        <v>44.046810147628854</v>
      </c>
      <c r="J106" s="84">
        <f t="shared" si="15"/>
        <v>2.1472018823518444</v>
      </c>
      <c r="K106" s="84">
        <f>ROUNDDOWN(直径材積計算!X219,2)</f>
        <v>0.67</v>
      </c>
      <c r="L106" s="55">
        <f t="shared" si="19"/>
        <v>0</v>
      </c>
      <c r="M106" s="62">
        <f t="shared" si="20"/>
        <v>0</v>
      </c>
      <c r="N106" s="62">
        <f t="shared" si="18"/>
        <v>0</v>
      </c>
      <c r="O106" s="49">
        <f>直径材積計算!U219</f>
        <v>0</v>
      </c>
      <c r="P106" s="204">
        <f>直径材積計算!K103</f>
        <v>1608.3550676643856</v>
      </c>
      <c r="Q106" s="204">
        <f>VLOOKUP(G106,密度計算!A131:Q131,$AA$4,FALSE)</f>
        <v>416.83158331548429</v>
      </c>
      <c r="R106" s="49">
        <f>VLOOKUP(G106,密度計算!A131:Q131,$AA$5,FALSE)</f>
        <v>561.60885426408527</v>
      </c>
      <c r="S106" s="55">
        <f>直径材積計算!N219</f>
        <v>453.00436555367423</v>
      </c>
      <c r="T106" s="49">
        <f>直径材積計算!T219</f>
        <v>972.69182643045235</v>
      </c>
      <c r="U106" s="49">
        <f>直径材積計算!S219</f>
        <v>44.046810147628854</v>
      </c>
      <c r="V106" s="84">
        <f>直径材積計算!Y219</f>
        <v>0.67800157947566875</v>
      </c>
      <c r="W106" s="55" t="str">
        <f t="shared" si="21"/>
        <v/>
      </c>
      <c r="X106" s="55" t="e">
        <f t="shared" si="16"/>
        <v>#VALUE!</v>
      </c>
      <c r="Y106" s="153">
        <v>111</v>
      </c>
      <c r="Z106" s="191">
        <f t="shared" si="17"/>
        <v>0</v>
      </c>
    </row>
    <row r="107" spans="4:26">
      <c r="D107" s="48">
        <v>112</v>
      </c>
      <c r="E107" s="48">
        <f>IF(D107&lt;入力!$C$17,NA(),IF(D107&gt;入力!$H$48,NA(),D107))</f>
        <v>112</v>
      </c>
      <c r="F107" s="55">
        <f>IF(E107&gt;入力!$C$17,IF(S106&gt;=P106,P107,(F106-L106)*(1-$B$27)),IF(E107=入力!$C$17,入力!$C$18,NA()))</f>
        <v>453.00436555367423</v>
      </c>
      <c r="G107" s="49">
        <f>'樹高計算 '!N105</f>
        <v>32.985228227470728</v>
      </c>
      <c r="H107" s="49">
        <f>直径材積計算!L220</f>
        <v>975.5715578864249</v>
      </c>
      <c r="I107" s="49">
        <f>直径材積計算!I220</f>
        <v>44.080769321559785</v>
      </c>
      <c r="J107" s="84">
        <f t="shared" si="15"/>
        <v>2.1535588441715232</v>
      </c>
      <c r="K107" s="84">
        <f>ROUNDDOWN(直径材積計算!X220,2)</f>
        <v>0.67</v>
      </c>
      <c r="L107" s="55">
        <f t="shared" si="19"/>
        <v>0</v>
      </c>
      <c r="M107" s="62">
        <f t="shared" si="20"/>
        <v>0</v>
      </c>
      <c r="N107" s="62">
        <f t="shared" si="18"/>
        <v>0</v>
      </c>
      <c r="O107" s="49">
        <f>直径材積計算!U220</f>
        <v>0</v>
      </c>
      <c r="P107" s="204">
        <f>直径材積計算!K104</f>
        <v>1607.0575487849733</v>
      </c>
      <c r="Q107" s="204">
        <f>VLOOKUP(G107,密度計算!A132:Q132,$AA$4,FALSE)</f>
        <v>415.99209386217586</v>
      </c>
      <c r="R107" s="49">
        <f>VLOOKUP(G107,密度計算!A132:Q132,$AA$5,FALSE)</f>
        <v>560.47778663650934</v>
      </c>
      <c r="S107" s="55">
        <f>直径材積計算!N220</f>
        <v>453.00436555367423</v>
      </c>
      <c r="T107" s="49">
        <f>直径材積計算!T220</f>
        <v>975.5715578864249</v>
      </c>
      <c r="U107" s="49">
        <f>直径材積計算!S220</f>
        <v>44.080769321559785</v>
      </c>
      <c r="V107" s="84">
        <f>直径材積計算!Y220</f>
        <v>0.67868010723955174</v>
      </c>
      <c r="W107" s="55" t="str">
        <f t="shared" si="21"/>
        <v/>
      </c>
      <c r="X107" s="55" t="e">
        <f t="shared" si="16"/>
        <v>#VALUE!</v>
      </c>
      <c r="Y107" s="153">
        <v>112</v>
      </c>
      <c r="Z107" s="191">
        <f t="shared" si="17"/>
        <v>0</v>
      </c>
    </row>
    <row r="108" spans="4:26">
      <c r="D108" s="48">
        <v>113</v>
      </c>
      <c r="E108" s="48">
        <f>IF(D108&lt;入力!$C$17,NA(),IF(D108&gt;入力!$H$48,NA(),D108))</f>
        <v>113</v>
      </c>
      <c r="F108" s="55">
        <f>IF(E108&gt;入力!$C$17,IF(S107&gt;=P107,P108,(F107-L107)*(1-$B$27)),IF(E108=入力!$C$17,入力!$C$18,NA()))</f>
        <v>453.00436555367423</v>
      </c>
      <c r="G108" s="49">
        <f>'樹高計算 '!N106</f>
        <v>33.033242692786509</v>
      </c>
      <c r="H108" s="49">
        <f>直径材積計算!L221</f>
        <v>978.37792865626704</v>
      </c>
      <c r="I108" s="49">
        <f>直径材積計算!I221</f>
        <v>44.113778411635366</v>
      </c>
      <c r="J108" s="84">
        <f t="shared" si="15"/>
        <v>2.1597538634323468</v>
      </c>
      <c r="K108" s="84">
        <f>ROUNDDOWN(直径材積計算!X221,2)</f>
        <v>0.67</v>
      </c>
      <c r="L108" s="55">
        <f t="shared" si="19"/>
        <v>0</v>
      </c>
      <c r="M108" s="62">
        <f t="shared" si="20"/>
        <v>0</v>
      </c>
      <c r="N108" s="62">
        <f t="shared" si="18"/>
        <v>0</v>
      </c>
      <c r="O108" s="49">
        <f>直径材積計算!U221</f>
        <v>0</v>
      </c>
      <c r="P108" s="204">
        <f>直径材積計算!K105</f>
        <v>1605.7958200836542</v>
      </c>
      <c r="Q108" s="204">
        <f>VLOOKUP(G108,密度計算!A133:Q133,$AA$4,FALSE)</f>
        <v>415.17771494434231</v>
      </c>
      <c r="R108" s="49">
        <f>VLOOKUP(G108,密度計算!A133:Q133,$AA$5,FALSE)</f>
        <v>559.38055113591827</v>
      </c>
      <c r="S108" s="55">
        <f>直径材積計算!N221</f>
        <v>453.00436555367423</v>
      </c>
      <c r="T108" s="49">
        <f>直径材積計算!T221</f>
        <v>978.37792865626704</v>
      </c>
      <c r="U108" s="49">
        <f>直径材積計算!S221</f>
        <v>44.113778411635366</v>
      </c>
      <c r="V108" s="84">
        <f>直径材積計算!Y221</f>
        <v>0.67933963814413301</v>
      </c>
      <c r="W108" s="55" t="str">
        <f t="shared" si="21"/>
        <v/>
      </c>
      <c r="X108" s="55" t="e">
        <f t="shared" si="16"/>
        <v>#VALUE!</v>
      </c>
      <c r="Y108" s="153">
        <v>113</v>
      </c>
      <c r="Z108" s="191">
        <f t="shared" si="17"/>
        <v>0</v>
      </c>
    </row>
    <row r="109" spans="4:26">
      <c r="D109" s="48">
        <v>114</v>
      </c>
      <c r="E109" s="48">
        <f>IF(D109&lt;入力!$C$17,NA(),IF(D109&gt;入力!$H$48,NA(),D109))</f>
        <v>114</v>
      </c>
      <c r="F109" s="55">
        <f>IF(E109&gt;入力!$C$17,IF(S108&gt;=P108,P109,(F108-L108)*(1-$B$27)),IF(E109=入力!$C$17,入力!$C$18,NA()))</f>
        <v>453.00436555367423</v>
      </c>
      <c r="G109" s="49">
        <f>'樹高計算 '!N107</f>
        <v>33.079982584096534</v>
      </c>
      <c r="H109" s="49">
        <f>直径材積計算!L222</f>
        <v>981.11272200725409</v>
      </c>
      <c r="I109" s="49">
        <f>直径材積計算!I222</f>
        <v>44.145865302655658</v>
      </c>
      <c r="J109" s="84">
        <f t="shared" si="15"/>
        <v>2.1657908766687304</v>
      </c>
      <c r="K109" s="84">
        <f>ROUNDDOWN(直径材積計算!X222,2)</f>
        <v>0.67</v>
      </c>
      <c r="L109" s="55">
        <f t="shared" si="19"/>
        <v>0</v>
      </c>
      <c r="M109" s="62">
        <f t="shared" si="20"/>
        <v>0</v>
      </c>
      <c r="N109" s="62">
        <f t="shared" si="18"/>
        <v>0</v>
      </c>
      <c r="O109" s="49">
        <f>直径材積計算!U222</f>
        <v>0</v>
      </c>
      <c r="P109" s="204">
        <f>直径材積計算!K106</f>
        <v>1604.5688596756213</v>
      </c>
      <c r="Q109" s="204">
        <f>VLOOKUP(G109,密度計算!A134:Q134,$AA$4,FALSE)</f>
        <v>414.38761855091246</v>
      </c>
      <c r="R109" s="49">
        <f>VLOOKUP(G109,密度計算!A134:Q134,$AA$5,FALSE)</f>
        <v>558.31603215982989</v>
      </c>
      <c r="S109" s="55">
        <f>直径材積計算!N222</f>
        <v>453.00436555367423</v>
      </c>
      <c r="T109" s="49">
        <f>直径材積計算!T222</f>
        <v>981.11272200725409</v>
      </c>
      <c r="U109" s="49">
        <f>直径材積計算!S222</f>
        <v>44.145865302655658</v>
      </c>
      <c r="V109" s="84">
        <f>直径材積計算!Y222</f>
        <v>0.67998072990168845</v>
      </c>
      <c r="W109" s="55" t="str">
        <f t="shared" si="21"/>
        <v/>
      </c>
      <c r="X109" s="55" t="e">
        <f t="shared" si="16"/>
        <v>#VALUE!</v>
      </c>
      <c r="Y109" s="153">
        <v>114</v>
      </c>
      <c r="Z109" s="191">
        <f t="shared" si="17"/>
        <v>0</v>
      </c>
    </row>
    <row r="110" spans="4:26">
      <c r="D110" s="48">
        <v>115</v>
      </c>
      <c r="E110" s="48">
        <f>IF(D110&lt;入力!$C$17,NA(),IF(D110&gt;入力!$H$48,NA(),D110))</f>
        <v>115</v>
      </c>
      <c r="F110" s="55">
        <f>IF(E110&gt;入力!$C$17,IF(S109&gt;=P109,P110,(F109-L109)*(1-$B$27)),IF(E110=入力!$C$17,入力!$C$18,NA()))</f>
        <v>453.00436555367423</v>
      </c>
      <c r="G110" s="49">
        <f>'樹高計算 '!N108</f>
        <v>33.1254817548188</v>
      </c>
      <c r="H110" s="49">
        <f>直径材積計算!L223</f>
        <v>983.77768253875183</v>
      </c>
      <c r="I110" s="49">
        <f>直径材積計算!I223</f>
        <v>44.177056988530403</v>
      </c>
      <c r="J110" s="84">
        <f t="shared" si="15"/>
        <v>2.171673735056288</v>
      </c>
      <c r="K110" s="84">
        <f>ROUNDDOWN(直径材積計算!X223,2)</f>
        <v>0.68</v>
      </c>
      <c r="L110" s="55">
        <f t="shared" si="19"/>
        <v>0</v>
      </c>
      <c r="M110" s="62">
        <f t="shared" si="20"/>
        <v>0</v>
      </c>
      <c r="N110" s="62">
        <f t="shared" si="18"/>
        <v>0</v>
      </c>
      <c r="O110" s="49">
        <f>直径材積計算!U223</f>
        <v>0</v>
      </c>
      <c r="P110" s="204">
        <f>直径材積計算!K107</f>
        <v>1603.3756767219795</v>
      </c>
      <c r="Q110" s="204">
        <f>VLOOKUP(G110,密度計算!A135:Q135,$AA$4,FALSE)</f>
        <v>413.62100826753647</v>
      </c>
      <c r="R110" s="49">
        <f>VLOOKUP(G110,密度計算!A135:Q135,$AA$5,FALSE)</f>
        <v>557.28315667690856</v>
      </c>
      <c r="S110" s="55">
        <f>直径材積計算!N223</f>
        <v>453.00436555367423</v>
      </c>
      <c r="T110" s="49">
        <f>直径材積計算!T223</f>
        <v>983.77768253875183</v>
      </c>
      <c r="U110" s="49">
        <f>直径材積計算!S223</f>
        <v>44.177056988530403</v>
      </c>
      <c r="V110" s="84">
        <f>直径材積計算!Y223</f>
        <v>0.68060392244268209</v>
      </c>
      <c r="W110" s="55" t="str">
        <f t="shared" si="21"/>
        <v/>
      </c>
      <c r="X110" s="55" t="e">
        <f t="shared" si="16"/>
        <v>#VALUE!</v>
      </c>
      <c r="Y110" s="153">
        <v>115</v>
      </c>
      <c r="Z110" s="191">
        <f t="shared" si="17"/>
        <v>0</v>
      </c>
    </row>
    <row r="111" spans="4:26">
      <c r="D111" s="48">
        <v>116</v>
      </c>
      <c r="E111" s="48">
        <f>IF(D111&lt;入力!$C$17,NA(),IF(D111&gt;入力!$H$48,NA(),D111))</f>
        <v>116</v>
      </c>
      <c r="F111" s="55">
        <f>IF(E111&gt;入力!$C$17,IF(S110&gt;=P110,P111,(F110-L110)*(1-$B$27)),IF(E111=入力!$C$17,入力!$C$18,NA()))</f>
        <v>453.00436555367423</v>
      </c>
      <c r="G111" s="49">
        <f>'樹高計算 '!N109</f>
        <v>33.169773154852507</v>
      </c>
      <c r="H111" s="49">
        <f>直径材積計算!L224</f>
        <v>986.37451674911506</v>
      </c>
      <c r="I111" s="49">
        <f>直径材積計算!I224</f>
        <v>44.207379604752923</v>
      </c>
      <c r="J111" s="84">
        <f t="shared" si="15"/>
        <v>2.177406205663253</v>
      </c>
      <c r="K111" s="84">
        <f>ROUNDDOWN(直径材積計算!X224,2)</f>
        <v>0.68</v>
      </c>
      <c r="L111" s="55">
        <f t="shared" si="19"/>
        <v>0</v>
      </c>
      <c r="M111" s="62">
        <f t="shared" si="20"/>
        <v>0</v>
      </c>
      <c r="N111" s="62">
        <f t="shared" si="18"/>
        <v>0</v>
      </c>
      <c r="O111" s="49">
        <f>直径材積計算!U224</f>
        <v>0</v>
      </c>
      <c r="P111" s="204">
        <f>直径材積計算!K108</f>
        <v>1602.2153103873261</v>
      </c>
      <c r="Q111" s="204">
        <f>VLOOKUP(G111,密度計算!A136:Q136,$AA$4,FALSE)</f>
        <v>412.87711783426408</v>
      </c>
      <c r="R111" s="49">
        <f>VLOOKUP(G111,密度計算!A136:Q136,$AA$5,FALSE)</f>
        <v>556.28089228368492</v>
      </c>
      <c r="S111" s="55">
        <f>直径材積計算!N224</f>
        <v>453.00436555367423</v>
      </c>
      <c r="T111" s="49">
        <f>直径材積計算!T224</f>
        <v>986.37451674911506</v>
      </c>
      <c r="U111" s="49">
        <f>直径材積計算!S224</f>
        <v>44.207379604752923</v>
      </c>
      <c r="V111" s="84">
        <f>直径材積計算!Y224</f>
        <v>0.68120973855853939</v>
      </c>
      <c r="W111" s="55" t="str">
        <f t="shared" si="21"/>
        <v/>
      </c>
      <c r="X111" s="55" t="e">
        <f t="shared" si="16"/>
        <v>#VALUE!</v>
      </c>
      <c r="Y111" s="153">
        <v>116</v>
      </c>
      <c r="Z111" s="191">
        <f t="shared" si="17"/>
        <v>0</v>
      </c>
    </row>
    <row r="112" spans="4:26">
      <c r="D112" s="48">
        <v>117</v>
      </c>
      <c r="E112" s="48">
        <f>IF(D112&lt;入力!$C$17,NA(),IF(D112&gt;入力!$H$48,NA(),D112))</f>
        <v>117</v>
      </c>
      <c r="F112" s="55">
        <f>IF(E112&gt;入力!$C$17,IF(S111&gt;=P111,P112,(F111-L111)*(1-$B$27)),IF(E112=入力!$C$17,入力!$C$18,NA()))</f>
        <v>453.00436555367423</v>
      </c>
      <c r="G112" s="49">
        <f>'樹高計算 '!N110</f>
        <v>33.212888855153139</v>
      </c>
      <c r="H112" s="49">
        <f>直径材積計算!L225</f>
        <v>988.90489361235393</v>
      </c>
      <c r="I112" s="49">
        <f>直径材積計算!I225</f>
        <v>44.236858459473254</v>
      </c>
      <c r="J112" s="84">
        <f t="shared" si="15"/>
        <v>2.1829919727234581</v>
      </c>
      <c r="K112" s="84">
        <f>ROUNDDOWN(直径材積計算!X225,2)</f>
        <v>0.68</v>
      </c>
      <c r="L112" s="55">
        <f t="shared" si="19"/>
        <v>0</v>
      </c>
      <c r="M112" s="62">
        <f t="shared" si="20"/>
        <v>0</v>
      </c>
      <c r="N112" s="62">
        <f t="shared" si="18"/>
        <v>0</v>
      </c>
      <c r="O112" s="49">
        <f>直径材積計算!U225</f>
        <v>0</v>
      </c>
      <c r="P112" s="204">
        <f>直径材積計算!K109</f>
        <v>1601.0868288373729</v>
      </c>
      <c r="Q112" s="204">
        <f>VLOOKUP(G112,密度計算!A137:Q137,$AA$4,FALSE)</f>
        <v>412.15520978187789</v>
      </c>
      <c r="R112" s="49">
        <f>VLOOKUP(G112,密度計算!A137:Q137,$AA$5,FALSE)</f>
        <v>555.3082453672497</v>
      </c>
      <c r="S112" s="55">
        <f>直径材積計算!N225</f>
        <v>453.00436555367423</v>
      </c>
      <c r="T112" s="49">
        <f>直径材積計算!T225</f>
        <v>988.90489361235393</v>
      </c>
      <c r="U112" s="49">
        <f>直径材積計算!S225</f>
        <v>44.236858459473254</v>
      </c>
      <c r="V112" s="84">
        <f>直径材積計算!Y225</f>
        <v>0.68179868451722925</v>
      </c>
      <c r="W112" s="55" t="str">
        <f t="shared" si="21"/>
        <v/>
      </c>
      <c r="X112" s="55" t="e">
        <f t="shared" si="16"/>
        <v>#VALUE!</v>
      </c>
      <c r="Y112" s="153">
        <v>117</v>
      </c>
      <c r="Z112" s="191">
        <f t="shared" si="17"/>
        <v>0</v>
      </c>
    </row>
    <row r="113" spans="4:26">
      <c r="D113" s="48">
        <v>118</v>
      </c>
      <c r="E113" s="48">
        <f>IF(D113&lt;入力!$C$17,NA(),IF(D113&gt;入力!$H$48,NA(),D113))</f>
        <v>118</v>
      </c>
      <c r="F113" s="55">
        <f>IF(E113&gt;入力!$C$17,IF(S112&gt;=P112,P113,(F112-L112)*(1-$B$27)),IF(E113=入力!$C$17,入力!$C$18,NA()))</f>
        <v>453.00436555367423</v>
      </c>
      <c r="G113" s="49">
        <f>'樹高計算 '!N111</f>
        <v>33.254860071599857</v>
      </c>
      <c r="H113" s="49">
        <f>直径材積計算!L226</f>
        <v>991.37044516291189</v>
      </c>
      <c r="I113" s="49">
        <f>直径材積計算!I226</f>
        <v>44.265518063242688</v>
      </c>
      <c r="J113" s="84">
        <f t="shared" si="15"/>
        <v>2.1884346389272253</v>
      </c>
      <c r="K113" s="84">
        <f>ROUNDDOWN(直径材積計算!X226,2)</f>
        <v>0.68</v>
      </c>
      <c r="L113" s="55">
        <f t="shared" si="19"/>
        <v>0</v>
      </c>
      <c r="M113" s="62">
        <f t="shared" si="20"/>
        <v>0</v>
      </c>
      <c r="N113" s="62">
        <f t="shared" si="18"/>
        <v>0</v>
      </c>
      <c r="O113" s="49">
        <f>直径材積計算!U226</f>
        <v>0</v>
      </c>
      <c r="P113" s="204">
        <f>直径材積計算!K110</f>
        <v>1599.9893282748465</v>
      </c>
      <c r="Q113" s="204">
        <f>VLOOKUP(G113,密度計算!A138:Q138,$AA$4,FALSE)</f>
        <v>411.45457414188706</v>
      </c>
      <c r="R113" s="49">
        <f>VLOOKUP(G113,密度計算!A138:Q138,$AA$5,FALSE)</f>
        <v>554.36425936719161</v>
      </c>
      <c r="S113" s="55">
        <f>直径材積計算!N226</f>
        <v>453.00436555367423</v>
      </c>
      <c r="T113" s="49">
        <f>直径材積計算!T226</f>
        <v>991.37044516291189</v>
      </c>
      <c r="U113" s="49">
        <f>直径材積計算!S226</f>
        <v>44.265518063242688</v>
      </c>
      <c r="V113" s="84">
        <f>直径材積計算!Y226</f>
        <v>0.68237125065301363</v>
      </c>
      <c r="W113" s="55" t="str">
        <f t="shared" si="21"/>
        <v/>
      </c>
      <c r="X113" s="55" t="e">
        <f t="shared" si="16"/>
        <v>#VALUE!</v>
      </c>
      <c r="Y113" s="153">
        <v>118</v>
      </c>
      <c r="Z113" s="191">
        <f t="shared" si="17"/>
        <v>0</v>
      </c>
    </row>
    <row r="114" spans="4:26">
      <c r="D114" s="48">
        <v>119</v>
      </c>
      <c r="E114" s="48">
        <f>IF(D114&lt;入力!$C$17,NA(),IF(D114&gt;入力!$H$48,NA(),D114))</f>
        <v>119</v>
      </c>
      <c r="F114" s="55">
        <f>IF(E114&gt;入力!$C$17,IF(S113&gt;=P113,P114,(F113-L113)*(1-$B$27)),IF(E114=入力!$C$17,入力!$C$18,NA()))</f>
        <v>453.00436555367423</v>
      </c>
      <c r="G114" s="49">
        <f>'樹高計算 '!N112</f>
        <v>33.295717188178457</v>
      </c>
      <c r="H114" s="49">
        <f>直径材積計算!L227</f>
        <v>993.77276708703721</v>
      </c>
      <c r="I114" s="49">
        <f>直径材積計算!I227</f>
        <v>44.293382157497007</v>
      </c>
      <c r="J114" s="84">
        <f t="shared" si="15"/>
        <v>2.1937377267268081</v>
      </c>
      <c r="K114" s="84">
        <f>ROUNDDOWN(直径材積計算!X227,2)</f>
        <v>0.68</v>
      </c>
      <c r="L114" s="55">
        <f t="shared" si="19"/>
        <v>0</v>
      </c>
      <c r="M114" s="62">
        <f t="shared" si="20"/>
        <v>0</v>
      </c>
      <c r="N114" s="62">
        <f t="shared" si="18"/>
        <v>0</v>
      </c>
      <c r="O114" s="49">
        <f>直径材積計算!U227</f>
        <v>0</v>
      </c>
      <c r="P114" s="204">
        <f>直径材積計算!K111</f>
        <v>1598.9219320119719</v>
      </c>
      <c r="Q114" s="204">
        <f>VLOOKUP(G114,密度計算!A139:Q139,$AA$4,FALSE)</f>
        <v>410.77452722554671</v>
      </c>
      <c r="R114" s="49">
        <f>VLOOKUP(G114,密度計算!A139:Q139,$AA$5,FALSE)</f>
        <v>553.44801313053676</v>
      </c>
      <c r="S114" s="55">
        <f>直径材積計算!N227</f>
        <v>453.00436555367423</v>
      </c>
      <c r="T114" s="49">
        <f>直径材積計算!T227</f>
        <v>993.77276708703721</v>
      </c>
      <c r="U114" s="49">
        <f>直径材積計算!S227</f>
        <v>44.293382157497007</v>
      </c>
      <c r="V114" s="84">
        <f>直径材積計算!Y227</f>
        <v>0.68292791193162317</v>
      </c>
      <c r="W114" s="55" t="str">
        <f t="shared" si="21"/>
        <v/>
      </c>
      <c r="X114" s="55" t="e">
        <f t="shared" si="16"/>
        <v>#VALUE!</v>
      </c>
      <c r="Y114" s="153">
        <v>119</v>
      </c>
      <c r="Z114" s="191">
        <f t="shared" si="17"/>
        <v>0</v>
      </c>
    </row>
    <row r="115" spans="4:26">
      <c r="D115" s="48">
        <v>120</v>
      </c>
      <c r="E115" s="48">
        <f>IF(D115&lt;入力!$C$17,NA(),IF(D115&gt;入力!$H$48,NA(),D115))</f>
        <v>120</v>
      </c>
      <c r="F115" s="55">
        <f>IF(E115&gt;入力!$C$17,IF(S114&gt;=P114,P115,(F114-L114)*(1-$B$27)),IF(E115=入力!$C$17,入力!$C$18,NA()))</f>
        <v>453.00436555367423</v>
      </c>
      <c r="G115" s="49">
        <f>'樹高計算 '!N113</f>
        <v>33.335489779502211</v>
      </c>
      <c r="H115" s="49">
        <f>直径材積計算!L228</f>
        <v>996.11341931930667</v>
      </c>
      <c r="I115" s="49">
        <f>直径材積計算!I228</f>
        <v>44.320473741841305</v>
      </c>
      <c r="J115" s="84">
        <f t="shared" si="15"/>
        <v>2.1989046796532077</v>
      </c>
      <c r="K115" s="84">
        <f>ROUNDDOWN(直径材積計算!X228,2)</f>
        <v>0.68</v>
      </c>
      <c r="L115" s="55">
        <f t="shared" si="19"/>
        <v>0</v>
      </c>
      <c r="M115" s="62">
        <f t="shared" si="20"/>
        <v>0</v>
      </c>
      <c r="N115" s="62">
        <f t="shared" si="18"/>
        <v>0</v>
      </c>
      <c r="O115" s="49">
        <f>直径材積計算!U228</f>
        <v>0</v>
      </c>
      <c r="P115" s="204">
        <f>直径材積計算!K112</f>
        <v>1597.8837895779498</v>
      </c>
      <c r="Q115" s="204">
        <f>VLOOKUP(G115,密度計算!A140:Q140,$AA$4,FALSE)</f>
        <v>410.11441046760399</v>
      </c>
      <c r="R115" s="49">
        <f>VLOOKUP(G115,密度計算!A140:Q140,$AA$5,FALSE)</f>
        <v>552.55861935389453</v>
      </c>
      <c r="S115" s="55">
        <f>直径材積計算!N228</f>
        <v>453.00436555367423</v>
      </c>
      <c r="T115" s="49">
        <f>直径材積計算!T228</f>
        <v>996.11341931930667</v>
      </c>
      <c r="U115" s="49">
        <f>直径材積計算!S228</f>
        <v>44.320473741841305</v>
      </c>
      <c r="V115" s="84">
        <f>直径材積計算!Y228</f>
        <v>0.68346912849205887</v>
      </c>
      <c r="W115" s="55" t="str">
        <f t="shared" si="21"/>
        <v/>
      </c>
      <c r="X115" s="55" t="e">
        <f t="shared" si="16"/>
        <v>#VALUE!</v>
      </c>
      <c r="Y115" s="153">
        <v>120</v>
      </c>
      <c r="Z115" s="191">
        <f t="shared" si="17"/>
        <v>0</v>
      </c>
    </row>
    <row r="116" spans="4:26">
      <c r="L116" s="20">
        <f>COUNT(L5:L115)</f>
        <v>111</v>
      </c>
      <c r="W116" s="20">
        <v>109</v>
      </c>
      <c r="X116" s="20">
        <v>109</v>
      </c>
    </row>
    <row r="117" spans="4:26">
      <c r="L117" s="20">
        <f>COUNTIF(L5:L115,0)</f>
        <v>106</v>
      </c>
      <c r="W117" s="20">
        <v>105</v>
      </c>
      <c r="X117" s="20">
        <v>105</v>
      </c>
    </row>
    <row r="118" spans="4:26">
      <c r="L118" s="20">
        <f>L116-L117</f>
        <v>5</v>
      </c>
      <c r="W118" s="20">
        <v>4</v>
      </c>
      <c r="X118" s="20">
        <v>4</v>
      </c>
    </row>
    <row r="119" spans="4:26">
      <c r="D119" s="48">
        <v>1</v>
      </c>
      <c r="E119" s="55">
        <v>1</v>
      </c>
      <c r="F119" s="48">
        <v>2</v>
      </c>
      <c r="G119" s="48">
        <v>3</v>
      </c>
      <c r="H119" s="48">
        <v>4</v>
      </c>
      <c r="I119" s="48">
        <v>5</v>
      </c>
      <c r="J119" s="48"/>
      <c r="K119" s="48"/>
      <c r="L119" s="48"/>
      <c r="M119" s="48"/>
      <c r="N119" s="48"/>
      <c r="O119" s="48"/>
      <c r="P119" s="204"/>
      <c r="Q119" s="204"/>
      <c r="R119" s="48"/>
      <c r="S119" s="48"/>
      <c r="T119" s="48"/>
      <c r="U119" s="48"/>
      <c r="V119" s="48"/>
      <c r="W119" s="48">
        <v>5</v>
      </c>
      <c r="X119" s="48">
        <v>5</v>
      </c>
      <c r="Y119" s="153">
        <v>1</v>
      </c>
    </row>
    <row r="120" spans="4:26">
      <c r="D120" s="48" t="s">
        <v>1</v>
      </c>
      <c r="E120" s="55" t="s">
        <v>1</v>
      </c>
      <c r="F120" s="48" t="s">
        <v>69</v>
      </c>
      <c r="G120" s="48" t="s">
        <v>2</v>
      </c>
      <c r="H120" s="48" t="s">
        <v>4</v>
      </c>
      <c r="I120" s="48" t="s">
        <v>3</v>
      </c>
      <c r="J120" s="48"/>
      <c r="K120" s="48"/>
      <c r="L120" s="48"/>
      <c r="M120" s="48"/>
      <c r="N120" s="48"/>
      <c r="O120" s="48"/>
      <c r="P120" s="204"/>
      <c r="Q120" s="204"/>
      <c r="R120" s="48"/>
      <c r="S120" s="48"/>
      <c r="T120" s="48"/>
      <c r="U120" s="48"/>
      <c r="V120" s="48"/>
      <c r="W120" s="48" t="s">
        <v>68</v>
      </c>
      <c r="X120" s="48" t="s">
        <v>68</v>
      </c>
      <c r="Y120" s="153" t="s">
        <v>1</v>
      </c>
    </row>
    <row r="121" spans="4:26">
      <c r="D121" s="48">
        <v>10</v>
      </c>
      <c r="E121" s="55">
        <v>10</v>
      </c>
      <c r="F121" s="49">
        <f t="shared" ref="F121:I143" si="22">VLOOKUP($E121,$E$5:$Q$115,F$119,FALSE)</f>
        <v>2400</v>
      </c>
      <c r="G121" s="49">
        <f t="shared" si="22"/>
        <v>7.005377668918638</v>
      </c>
      <c r="H121" s="49">
        <f t="shared" si="22"/>
        <v>102.2800111677394</v>
      </c>
      <c r="I121" s="49">
        <f t="shared" si="22"/>
        <v>11.138932082557449</v>
      </c>
      <c r="J121" s="49"/>
      <c r="K121" s="49"/>
      <c r="L121" s="49"/>
      <c r="M121" s="49"/>
      <c r="N121" s="49"/>
      <c r="O121" s="49"/>
      <c r="P121" s="204"/>
      <c r="Q121" s="204"/>
      <c r="R121" s="49"/>
      <c r="S121" s="49"/>
      <c r="T121" s="49"/>
      <c r="U121" s="49"/>
      <c r="V121" s="49"/>
      <c r="W121" s="49"/>
      <c r="X121" s="49"/>
      <c r="Y121" s="153">
        <v>10</v>
      </c>
    </row>
    <row r="122" spans="4:26">
      <c r="D122" s="48">
        <v>15</v>
      </c>
      <c r="E122" s="55">
        <v>15</v>
      </c>
      <c r="F122" s="49">
        <f t="shared" si="22"/>
        <v>2321.3807070057342</v>
      </c>
      <c r="G122" s="49">
        <f t="shared" si="22"/>
        <v>10.290382189294702</v>
      </c>
      <c r="H122" s="49">
        <f t="shared" si="22"/>
        <v>219.66196464449416</v>
      </c>
      <c r="I122" s="49">
        <f t="shared" si="22"/>
        <v>14.15072273584609</v>
      </c>
      <c r="J122" s="49"/>
      <c r="K122" s="49"/>
      <c r="L122" s="49"/>
      <c r="M122" s="49"/>
      <c r="N122" s="49"/>
      <c r="O122" s="49"/>
      <c r="P122" s="204"/>
      <c r="Q122" s="204"/>
      <c r="R122" s="49"/>
      <c r="S122" s="49"/>
      <c r="T122" s="49"/>
      <c r="U122" s="49"/>
      <c r="V122" s="49"/>
      <c r="W122" s="49"/>
      <c r="X122" s="49"/>
      <c r="Y122" s="153">
        <v>15</v>
      </c>
    </row>
    <row r="123" spans="4:26">
      <c r="D123" s="48">
        <v>20</v>
      </c>
      <c r="E123" s="55">
        <v>20</v>
      </c>
      <c r="F123" s="49">
        <f t="shared" si="22"/>
        <v>1603.0043655536742</v>
      </c>
      <c r="G123" s="49">
        <f t="shared" si="22"/>
        <v>13.261749704127018</v>
      </c>
      <c r="H123" s="49">
        <f t="shared" si="22"/>
        <v>301.82981555955007</v>
      </c>
      <c r="I123" s="49">
        <f t="shared" si="22"/>
        <v>18.373665098837925</v>
      </c>
      <c r="J123" s="49"/>
      <c r="K123" s="49"/>
      <c r="L123" s="49"/>
      <c r="M123" s="49"/>
      <c r="N123" s="49"/>
      <c r="O123" s="49"/>
      <c r="P123" s="204"/>
      <c r="Q123" s="204"/>
      <c r="R123" s="49"/>
      <c r="S123" s="49"/>
      <c r="T123" s="49"/>
      <c r="U123" s="49"/>
      <c r="V123" s="49"/>
      <c r="W123" s="49"/>
      <c r="X123" s="49"/>
      <c r="Y123" s="153">
        <v>20</v>
      </c>
    </row>
    <row r="124" spans="4:26">
      <c r="D124" s="48">
        <v>25</v>
      </c>
      <c r="E124" s="55">
        <v>25</v>
      </c>
      <c r="F124" s="49">
        <f t="shared" si="22"/>
        <v>1153.0043655536742</v>
      </c>
      <c r="G124" s="49">
        <f t="shared" si="22"/>
        <v>15.919929651162615</v>
      </c>
      <c r="H124" s="49">
        <f t="shared" si="22"/>
        <v>367.6659335211275</v>
      </c>
      <c r="I124" s="49">
        <f t="shared" si="22"/>
        <v>22.542107957952606</v>
      </c>
      <c r="J124" s="49"/>
      <c r="K124" s="49"/>
      <c r="L124" s="49"/>
      <c r="M124" s="49"/>
      <c r="N124" s="49"/>
      <c r="O124" s="49"/>
      <c r="P124" s="204"/>
      <c r="Q124" s="204"/>
      <c r="R124" s="49"/>
      <c r="S124" s="49"/>
      <c r="T124" s="49"/>
      <c r="U124" s="49"/>
      <c r="V124" s="49"/>
      <c r="W124" s="49"/>
      <c r="X124" s="49"/>
      <c r="Y124" s="153">
        <v>25</v>
      </c>
    </row>
    <row r="125" spans="4:26">
      <c r="D125" s="48">
        <v>30</v>
      </c>
      <c r="E125" s="55">
        <v>30</v>
      </c>
      <c r="F125" s="49">
        <f t="shared" si="22"/>
        <v>1153.0043655536742</v>
      </c>
      <c r="G125" s="49">
        <f t="shared" si="22"/>
        <v>18.278708131736447</v>
      </c>
      <c r="H125" s="49">
        <f t="shared" si="22"/>
        <v>481.99722450965783</v>
      </c>
      <c r="I125" s="49">
        <f t="shared" si="22"/>
        <v>24.239799428023662</v>
      </c>
      <c r="J125" s="49"/>
      <c r="K125" s="49"/>
      <c r="L125" s="49"/>
      <c r="M125" s="49"/>
      <c r="N125" s="49"/>
      <c r="O125" s="49"/>
      <c r="P125" s="204"/>
      <c r="Q125" s="204"/>
      <c r="R125" s="49"/>
      <c r="S125" s="49"/>
      <c r="T125" s="49"/>
      <c r="U125" s="49"/>
      <c r="V125" s="49"/>
      <c r="W125" s="49"/>
      <c r="X125" s="49"/>
      <c r="Y125" s="153">
        <v>30</v>
      </c>
    </row>
    <row r="126" spans="4:26">
      <c r="D126" s="48">
        <v>35</v>
      </c>
      <c r="E126" s="55">
        <v>35</v>
      </c>
      <c r="F126" s="49">
        <f t="shared" si="22"/>
        <v>833.00436555367423</v>
      </c>
      <c r="G126" s="49">
        <f t="shared" si="22"/>
        <v>20.358566807421841</v>
      </c>
      <c r="H126" s="49">
        <f t="shared" si="22"/>
        <v>508.65706167433763</v>
      </c>
      <c r="I126" s="49">
        <f t="shared" si="22"/>
        <v>28.461133192967722</v>
      </c>
      <c r="J126" s="49"/>
      <c r="K126" s="49"/>
      <c r="L126" s="49"/>
      <c r="M126" s="49"/>
      <c r="N126" s="49"/>
      <c r="O126" s="49"/>
      <c r="P126" s="204"/>
      <c r="Q126" s="204"/>
      <c r="R126" s="49"/>
      <c r="S126" s="49"/>
      <c r="T126" s="49"/>
      <c r="U126" s="49"/>
      <c r="V126" s="49"/>
      <c r="W126" s="49"/>
      <c r="X126" s="49"/>
      <c r="Y126" s="153">
        <v>35</v>
      </c>
    </row>
    <row r="127" spans="4:26">
      <c r="D127" s="48">
        <v>40</v>
      </c>
      <c r="E127" s="55">
        <v>40</v>
      </c>
      <c r="F127" s="49">
        <f t="shared" si="22"/>
        <v>833.00436555367423</v>
      </c>
      <c r="G127" s="49">
        <f t="shared" si="22"/>
        <v>22.183923011010634</v>
      </c>
      <c r="H127" s="49">
        <f t="shared" si="22"/>
        <v>602.37715849247434</v>
      </c>
      <c r="I127" s="49">
        <f t="shared" si="22"/>
        <v>29.770326614206979</v>
      </c>
      <c r="J127" s="49"/>
      <c r="K127" s="49"/>
      <c r="L127" s="49"/>
      <c r="M127" s="49"/>
      <c r="N127" s="49"/>
      <c r="O127" s="49"/>
      <c r="P127" s="204"/>
      <c r="Q127" s="204"/>
      <c r="R127" s="49"/>
      <c r="S127" s="49"/>
      <c r="T127" s="49"/>
      <c r="U127" s="49"/>
      <c r="V127" s="49"/>
      <c r="W127" s="49"/>
      <c r="X127" s="49"/>
      <c r="Y127" s="153">
        <v>40</v>
      </c>
    </row>
    <row r="128" spans="4:26">
      <c r="D128" s="48">
        <v>45</v>
      </c>
      <c r="E128" s="55">
        <v>45</v>
      </c>
      <c r="F128" s="49">
        <f t="shared" si="22"/>
        <v>833.00436555367423</v>
      </c>
      <c r="G128" s="49">
        <f t="shared" si="22"/>
        <v>23.780979559582203</v>
      </c>
      <c r="H128" s="49">
        <f t="shared" si="22"/>
        <v>689.07624840194057</v>
      </c>
      <c r="I128" s="49">
        <f t="shared" si="22"/>
        <v>30.828433967991618</v>
      </c>
      <c r="J128" s="49"/>
      <c r="K128" s="49"/>
      <c r="L128" s="49"/>
      <c r="M128" s="49"/>
      <c r="N128" s="49"/>
      <c r="O128" s="49"/>
      <c r="P128" s="204"/>
      <c r="Q128" s="204"/>
      <c r="R128" s="49"/>
      <c r="S128" s="49"/>
      <c r="T128" s="49"/>
      <c r="U128" s="49"/>
      <c r="V128" s="49"/>
      <c r="W128" s="49"/>
      <c r="X128" s="49"/>
      <c r="Y128" s="153">
        <v>45</v>
      </c>
    </row>
    <row r="129" spans="4:25">
      <c r="D129" s="48">
        <v>50</v>
      </c>
      <c r="E129" s="55">
        <v>50</v>
      </c>
      <c r="F129" s="49">
        <f t="shared" si="22"/>
        <v>613.00436555367423</v>
      </c>
      <c r="G129" s="49">
        <f t="shared" si="22"/>
        <v>25.175839841701567</v>
      </c>
      <c r="H129" s="49">
        <f t="shared" si="22"/>
        <v>664.42136386514278</v>
      </c>
      <c r="I129" s="49">
        <f t="shared" si="22"/>
        <v>34.965136950983052</v>
      </c>
      <c r="J129" s="49"/>
      <c r="K129" s="49"/>
      <c r="L129" s="49"/>
      <c r="M129" s="49"/>
      <c r="N129" s="49"/>
      <c r="O129" s="49"/>
      <c r="P129" s="204"/>
      <c r="Q129" s="204"/>
      <c r="R129" s="49"/>
      <c r="S129" s="49"/>
      <c r="T129" s="49"/>
      <c r="U129" s="49"/>
      <c r="V129" s="49"/>
      <c r="W129" s="49"/>
      <c r="X129" s="49"/>
      <c r="Y129" s="153">
        <v>50</v>
      </c>
    </row>
    <row r="130" spans="4:25">
      <c r="D130" s="48">
        <v>55</v>
      </c>
      <c r="E130" s="55">
        <v>55</v>
      </c>
      <c r="F130" s="49">
        <f t="shared" si="22"/>
        <v>613.00436555367423</v>
      </c>
      <c r="G130" s="49">
        <f t="shared" si="22"/>
        <v>26.393136822696903</v>
      </c>
      <c r="H130" s="49">
        <f t="shared" si="22"/>
        <v>729.71452716636975</v>
      </c>
      <c r="I130" s="49">
        <f t="shared" si="22"/>
        <v>35.845303961474485</v>
      </c>
      <c r="J130" s="49"/>
      <c r="K130" s="49"/>
      <c r="L130" s="49"/>
      <c r="M130" s="49"/>
      <c r="N130" s="49"/>
      <c r="O130" s="49"/>
      <c r="P130" s="204"/>
      <c r="Q130" s="204"/>
      <c r="R130" s="49"/>
      <c r="S130" s="49"/>
      <c r="T130" s="49"/>
      <c r="U130" s="49"/>
      <c r="V130" s="49"/>
      <c r="W130" s="49"/>
      <c r="X130" s="49"/>
      <c r="Y130" s="153">
        <v>55</v>
      </c>
    </row>
    <row r="131" spans="4:25">
      <c r="D131" s="48">
        <v>60</v>
      </c>
      <c r="E131" s="55">
        <v>60</v>
      </c>
      <c r="F131" s="49">
        <f t="shared" si="22"/>
        <v>613.00436555367423</v>
      </c>
      <c r="G131" s="49">
        <f t="shared" si="22"/>
        <v>27.455270862155562</v>
      </c>
      <c r="H131" s="49">
        <f t="shared" si="22"/>
        <v>788.55321116412358</v>
      </c>
      <c r="I131" s="49">
        <f t="shared" si="22"/>
        <v>36.580822789173901</v>
      </c>
      <c r="J131" s="49"/>
      <c r="K131" s="49"/>
      <c r="L131" s="49"/>
      <c r="M131" s="49"/>
      <c r="N131" s="49"/>
      <c r="O131" s="49"/>
      <c r="P131" s="204"/>
      <c r="Q131" s="204"/>
      <c r="R131" s="49"/>
      <c r="S131" s="49"/>
      <c r="T131" s="49"/>
      <c r="U131" s="49"/>
      <c r="V131" s="49"/>
      <c r="W131" s="49"/>
      <c r="X131" s="49"/>
      <c r="Y131" s="153">
        <v>60</v>
      </c>
    </row>
    <row r="132" spans="4:25">
      <c r="D132" s="48">
        <v>65</v>
      </c>
      <c r="E132" s="55">
        <v>65</v>
      </c>
      <c r="F132" s="49">
        <f t="shared" si="22"/>
        <v>613.00436555367423</v>
      </c>
      <c r="G132" s="49">
        <f t="shared" si="22"/>
        <v>28.382142898926077</v>
      </c>
      <c r="H132" s="49">
        <f t="shared" si="22"/>
        <v>841.26886658523256</v>
      </c>
      <c r="I132" s="49">
        <f t="shared" si="22"/>
        <v>37.19941436109827</v>
      </c>
      <c r="J132" s="49"/>
      <c r="K132" s="49"/>
      <c r="L132" s="49"/>
      <c r="M132" s="49"/>
      <c r="N132" s="49"/>
      <c r="O132" s="49"/>
      <c r="P132" s="204"/>
      <c r="Q132" s="204"/>
      <c r="R132" s="49"/>
      <c r="S132" s="49"/>
      <c r="T132" s="49"/>
      <c r="U132" s="49"/>
      <c r="V132" s="49"/>
      <c r="W132" s="49"/>
      <c r="X132" s="49"/>
      <c r="Y132" s="153">
        <v>65</v>
      </c>
    </row>
    <row r="133" spans="4:25">
      <c r="D133" s="48">
        <v>70</v>
      </c>
      <c r="E133" s="55">
        <v>70</v>
      </c>
      <c r="F133" s="49">
        <f t="shared" si="22"/>
        <v>613.00436555367423</v>
      </c>
      <c r="G133" s="49">
        <f t="shared" si="22"/>
        <v>29.191199120888513</v>
      </c>
      <c r="H133" s="49">
        <f t="shared" si="22"/>
        <v>888.29417885413932</v>
      </c>
      <c r="I133" s="49">
        <f t="shared" si="22"/>
        <v>37.722557127258767</v>
      </c>
      <c r="J133" s="49"/>
      <c r="K133" s="49"/>
      <c r="L133" s="49"/>
      <c r="M133" s="49"/>
      <c r="N133" s="49"/>
      <c r="O133" s="49"/>
      <c r="P133" s="204"/>
      <c r="Q133" s="204"/>
      <c r="R133" s="49"/>
      <c r="S133" s="49"/>
      <c r="T133" s="49"/>
      <c r="U133" s="49"/>
      <c r="V133" s="49"/>
      <c r="W133" s="49"/>
      <c r="X133" s="49"/>
      <c r="Y133" s="153">
        <v>70</v>
      </c>
    </row>
    <row r="134" spans="4:25">
      <c r="D134" s="48">
        <v>75</v>
      </c>
      <c r="E134" s="55">
        <v>75</v>
      </c>
      <c r="F134" s="49">
        <f t="shared" si="22"/>
        <v>613.00436555367423</v>
      </c>
      <c r="G134" s="49">
        <f t="shared" si="22"/>
        <v>29.897631157755349</v>
      </c>
      <c r="H134" s="49">
        <f t="shared" si="22"/>
        <v>930.10352914632563</v>
      </c>
      <c r="I134" s="49">
        <f t="shared" si="22"/>
        <v>38.167084833956942</v>
      </c>
      <c r="J134" s="49"/>
      <c r="K134" s="49"/>
      <c r="L134" s="49"/>
      <c r="M134" s="49"/>
      <c r="N134" s="49"/>
      <c r="O134" s="49"/>
      <c r="P134" s="204"/>
      <c r="Q134" s="204"/>
      <c r="R134" s="49"/>
      <c r="S134" s="49"/>
      <c r="T134" s="49"/>
      <c r="U134" s="49"/>
      <c r="V134" s="49"/>
      <c r="W134" s="49"/>
      <c r="X134" s="49"/>
      <c r="Y134" s="153">
        <v>75</v>
      </c>
    </row>
    <row r="135" spans="4:25">
      <c r="D135" s="48">
        <v>80</v>
      </c>
      <c r="E135" s="55">
        <v>80</v>
      </c>
      <c r="F135" s="49">
        <f t="shared" si="22"/>
        <v>613.00436555367423</v>
      </c>
      <c r="G135" s="49">
        <f t="shared" si="22"/>
        <v>30.514631570930302</v>
      </c>
      <c r="H135" s="49">
        <f t="shared" si="22"/>
        <v>967.17753431004644</v>
      </c>
      <c r="I135" s="49">
        <f t="shared" si="22"/>
        <v>38.546343624815997</v>
      </c>
      <c r="J135" s="49"/>
      <c r="K135" s="49"/>
      <c r="L135" s="49"/>
      <c r="M135" s="49"/>
      <c r="N135" s="49"/>
      <c r="O135" s="49"/>
      <c r="P135" s="204"/>
      <c r="Q135" s="204"/>
      <c r="R135" s="49"/>
      <c r="S135" s="49"/>
      <c r="T135" s="49"/>
      <c r="U135" s="49"/>
      <c r="V135" s="49"/>
      <c r="W135" s="49"/>
      <c r="X135" s="49"/>
      <c r="Y135" s="153">
        <v>80</v>
      </c>
    </row>
    <row r="136" spans="4:25">
      <c r="D136" s="48">
        <v>85</v>
      </c>
      <c r="E136" s="55">
        <v>85</v>
      </c>
      <c r="F136" s="49">
        <f t="shared" si="22"/>
        <v>453.00436555367423</v>
      </c>
      <c r="G136" s="49">
        <f t="shared" si="22"/>
        <v>31.053651329577239</v>
      </c>
      <c r="H136" s="49">
        <f t="shared" si="22"/>
        <v>865.24334382579036</v>
      </c>
      <c r="I136" s="49">
        <f t="shared" si="22"/>
        <v>42.711905271695571</v>
      </c>
      <c r="J136" s="49"/>
      <c r="K136" s="49"/>
      <c r="L136" s="49"/>
      <c r="M136" s="49"/>
      <c r="N136" s="49"/>
      <c r="O136" s="49"/>
      <c r="P136" s="204"/>
      <c r="Q136" s="204"/>
      <c r="R136" s="49"/>
      <c r="S136" s="49"/>
      <c r="T136" s="49"/>
      <c r="U136" s="49"/>
      <c r="V136" s="49"/>
      <c r="W136" s="49"/>
      <c r="X136" s="49"/>
      <c r="Y136" s="153">
        <v>85</v>
      </c>
    </row>
    <row r="137" spans="4:25">
      <c r="D137" s="48">
        <v>90</v>
      </c>
      <c r="E137" s="55">
        <v>90</v>
      </c>
      <c r="F137" s="49">
        <f t="shared" si="22"/>
        <v>453.00436555367423</v>
      </c>
      <c r="G137" s="49">
        <f t="shared" si="22"/>
        <v>31.52463577874099</v>
      </c>
      <c r="H137" s="49">
        <f t="shared" si="22"/>
        <v>891.6762360462576</v>
      </c>
      <c r="I137" s="49">
        <f t="shared" si="22"/>
        <v>43.053219760071975</v>
      </c>
      <c r="J137" s="49"/>
      <c r="K137" s="49"/>
      <c r="L137" s="49"/>
      <c r="M137" s="49"/>
      <c r="N137" s="49"/>
      <c r="O137" s="49"/>
      <c r="P137" s="204"/>
      <c r="Q137" s="204"/>
      <c r="R137" s="49"/>
      <c r="S137" s="49"/>
      <c r="T137" s="49"/>
      <c r="U137" s="49"/>
      <c r="V137" s="49"/>
      <c r="W137" s="49"/>
      <c r="X137" s="49"/>
      <c r="Y137" s="153">
        <v>90</v>
      </c>
    </row>
    <row r="138" spans="4:25">
      <c r="D138" s="48">
        <v>95</v>
      </c>
      <c r="E138" s="55">
        <v>95</v>
      </c>
      <c r="F138" s="49">
        <f t="shared" si="22"/>
        <v>453.00436555367423</v>
      </c>
      <c r="G138" s="49">
        <f t="shared" si="22"/>
        <v>31.936231631986093</v>
      </c>
      <c r="H138" s="49">
        <f t="shared" si="22"/>
        <v>915.02615146500659</v>
      </c>
      <c r="I138" s="49">
        <f t="shared" si="22"/>
        <v>43.34745071641025</v>
      </c>
      <c r="J138" s="49"/>
      <c r="K138" s="49"/>
      <c r="L138" s="49"/>
      <c r="M138" s="49"/>
      <c r="N138" s="49"/>
      <c r="O138" s="49"/>
      <c r="P138" s="204"/>
      <c r="Q138" s="204"/>
      <c r="R138" s="49"/>
      <c r="S138" s="49"/>
      <c r="T138" s="49"/>
      <c r="U138" s="49"/>
      <c r="V138" s="49"/>
      <c r="W138" s="49"/>
      <c r="X138" s="49"/>
      <c r="Y138" s="153">
        <v>95</v>
      </c>
    </row>
    <row r="139" spans="4:25">
      <c r="D139" s="48">
        <v>100</v>
      </c>
      <c r="E139" s="55">
        <v>100</v>
      </c>
      <c r="F139" s="49">
        <f t="shared" si="22"/>
        <v>453.00436555367423</v>
      </c>
      <c r="G139" s="49">
        <f t="shared" si="22"/>
        <v>32.295965004303454</v>
      </c>
      <c r="H139" s="49">
        <f t="shared" si="22"/>
        <v>935.62266911468214</v>
      </c>
      <c r="I139" s="49">
        <f t="shared" si="22"/>
        <v>43.601576528755324</v>
      </c>
      <c r="J139" s="49"/>
      <c r="K139" s="49"/>
      <c r="L139" s="49"/>
      <c r="M139" s="49"/>
      <c r="N139" s="49"/>
      <c r="O139" s="49"/>
      <c r="P139" s="204"/>
      <c r="Q139" s="204"/>
      <c r="R139" s="49"/>
      <c r="S139" s="49"/>
      <c r="T139" s="49"/>
      <c r="U139" s="49"/>
      <c r="V139" s="49"/>
      <c r="W139" s="49"/>
      <c r="X139" s="49"/>
      <c r="Y139" s="153">
        <v>100</v>
      </c>
    </row>
    <row r="140" spans="4:25">
      <c r="D140" s="48">
        <v>105</v>
      </c>
      <c r="E140" s="55">
        <v>105</v>
      </c>
      <c r="F140" s="49">
        <f t="shared" si="22"/>
        <v>453.00436555367423</v>
      </c>
      <c r="G140" s="49">
        <f t="shared" si="22"/>
        <v>32.610393421542035</v>
      </c>
      <c r="H140" s="49">
        <f t="shared" si="22"/>
        <v>953.76799132818962</v>
      </c>
      <c r="I140" s="49">
        <f t="shared" si="22"/>
        <v>43.82142064910196</v>
      </c>
      <c r="J140" s="49"/>
      <c r="K140" s="49"/>
      <c r="L140" s="49"/>
      <c r="M140" s="49"/>
      <c r="N140" s="49"/>
      <c r="O140" s="49"/>
      <c r="P140" s="204"/>
      <c r="Q140" s="204"/>
      <c r="R140" s="49"/>
      <c r="S140" s="49"/>
      <c r="T140" s="49"/>
      <c r="U140" s="49"/>
      <c r="V140" s="49"/>
      <c r="W140" s="49"/>
      <c r="X140" s="49"/>
      <c r="Y140" s="153">
        <v>105</v>
      </c>
    </row>
    <row r="141" spans="4:25">
      <c r="D141" s="48">
        <v>110</v>
      </c>
      <c r="E141" s="55">
        <v>110</v>
      </c>
      <c r="F141" s="49">
        <f t="shared" si="22"/>
        <v>453.00436555367423</v>
      </c>
      <c r="G141" s="49">
        <f t="shared" si="22"/>
        <v>32.885235490956617</v>
      </c>
      <c r="H141" s="49">
        <f t="shared" si="22"/>
        <v>969.73691179786033</v>
      </c>
      <c r="I141" s="49">
        <f t="shared" si="22"/>
        <v>44.011872080202394</v>
      </c>
      <c r="J141" s="49"/>
      <c r="K141" s="49"/>
      <c r="L141" s="49"/>
      <c r="M141" s="49"/>
      <c r="N141" s="49"/>
      <c r="O141" s="49"/>
      <c r="P141" s="204"/>
      <c r="Q141" s="204"/>
      <c r="R141" s="49"/>
      <c r="S141" s="49"/>
      <c r="T141" s="49"/>
      <c r="U141" s="49"/>
      <c r="V141" s="49"/>
      <c r="W141" s="49"/>
      <c r="X141" s="49"/>
      <c r="Y141" s="153">
        <v>110</v>
      </c>
    </row>
    <row r="142" spans="4:25">
      <c r="D142" s="48">
        <v>115</v>
      </c>
      <c r="E142" s="55">
        <v>115</v>
      </c>
      <c r="F142" s="49">
        <f t="shared" si="22"/>
        <v>453.00436555367423</v>
      </c>
      <c r="G142" s="49">
        <f t="shared" si="22"/>
        <v>33.1254817548188</v>
      </c>
      <c r="H142" s="49">
        <f t="shared" si="22"/>
        <v>983.77768253875183</v>
      </c>
      <c r="I142" s="49">
        <f t="shared" si="22"/>
        <v>44.177056988530403</v>
      </c>
      <c r="J142" s="49"/>
      <c r="K142" s="49"/>
      <c r="L142" s="49"/>
      <c r="M142" s="49"/>
      <c r="N142" s="49"/>
      <c r="O142" s="49"/>
      <c r="P142" s="204"/>
      <c r="Q142" s="204"/>
      <c r="R142" s="49"/>
      <c r="S142" s="49"/>
      <c r="T142" s="49"/>
      <c r="U142" s="49"/>
      <c r="V142" s="49"/>
      <c r="W142" s="49"/>
      <c r="X142" s="49"/>
      <c r="Y142" s="153">
        <v>115</v>
      </c>
    </row>
    <row r="143" spans="4:25">
      <c r="D143" s="48">
        <v>120</v>
      </c>
      <c r="E143" s="55">
        <v>120</v>
      </c>
      <c r="F143" s="49">
        <f t="shared" si="22"/>
        <v>453.00436555367423</v>
      </c>
      <c r="G143" s="49">
        <f t="shared" si="22"/>
        <v>33.335489779502211</v>
      </c>
      <c r="H143" s="49">
        <f t="shared" si="22"/>
        <v>996.11341931930667</v>
      </c>
      <c r="I143" s="49">
        <f t="shared" si="22"/>
        <v>44.320473741841305</v>
      </c>
      <c r="J143" s="49"/>
      <c r="K143" s="49"/>
      <c r="L143" s="49"/>
      <c r="M143" s="49"/>
      <c r="N143" s="49"/>
      <c r="O143" s="49"/>
      <c r="P143" s="204"/>
      <c r="Q143" s="204"/>
      <c r="R143" s="49"/>
      <c r="S143" s="49"/>
      <c r="T143" s="49"/>
      <c r="U143" s="49"/>
      <c r="V143" s="49"/>
      <c r="W143" s="49"/>
      <c r="X143" s="49"/>
      <c r="Y143" s="153">
        <v>120</v>
      </c>
    </row>
  </sheetData>
  <phoneticPr fontId="1"/>
  <conditionalFormatting sqref="L5:O115">
    <cfRule type="cellIs" dxfId="2" priority="3" operator="greaterThan">
      <formula>0</formula>
    </cfRule>
  </conditionalFormatting>
  <conditionalFormatting sqref="N5:N115">
    <cfRule type="cellIs" dxfId="1" priority="1" operator="greaterThan">
      <formula>0</formula>
    </cfRule>
  </conditionalFormatting>
  <dataValidations count="2">
    <dataValidation type="list" allowBlank="1" showInputMessage="1" showErrorMessage="1" sqref="C9 C31 C20">
      <formula1>$AA$8:$AA$14</formula1>
    </dataValidation>
    <dataValidation type="list" allowBlank="1" showInputMessage="1" showErrorMessage="1" sqref="C17 C6 C28">
      <formula1>$AA$23:$AA$25</formula1>
    </dataValidation>
  </dataValidations>
  <pageMargins left="0.7" right="0.7" top="0.75" bottom="0.75" header="0.3" footer="0.3"/>
  <pageSetup paperSize="9" orientation="portrait" copies="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W143"/>
  <sheetViews>
    <sheetView workbookViewId="0">
      <selection activeCell="Q38" sqref="Q38"/>
    </sheetView>
  </sheetViews>
  <sheetFormatPr defaultRowHeight="13.5"/>
  <cols>
    <col min="1" max="1" width="2.125" customWidth="1"/>
    <col min="2" max="2" width="10" style="20" customWidth="1"/>
    <col min="3" max="3" width="2.125" style="50" customWidth="1"/>
    <col min="4" max="4" width="10.625" style="20" customWidth="1"/>
    <col min="5" max="5" width="10.625" style="158" customWidth="1"/>
    <col min="6" max="9" width="10.625" style="20" customWidth="1"/>
    <col min="10" max="10" width="10.625" style="206" customWidth="1"/>
    <col min="11" max="15" width="10.625" style="20" customWidth="1"/>
    <col min="16" max="16" width="10.625" style="206" customWidth="1"/>
    <col min="17" max="17" width="10.625" style="203" customWidth="1"/>
    <col min="18" max="20" width="10.625" style="20" customWidth="1"/>
    <col min="21" max="21" width="4.5" customWidth="1"/>
    <col min="22" max="22" width="5.25" style="153" customWidth="1"/>
    <col min="23" max="23" width="9" customWidth="1"/>
    <col min="28" max="28" width="5.875" customWidth="1"/>
  </cols>
  <sheetData>
    <row r="1" spans="2:22">
      <c r="B1" s="52" t="s">
        <v>65</v>
      </c>
    </row>
    <row r="2" spans="2:22">
      <c r="B2" s="53" t="s">
        <v>66</v>
      </c>
      <c r="E2" s="20"/>
      <c r="M2" s="203"/>
      <c r="Q2" s="20"/>
      <c r="R2"/>
      <c r="S2" s="152"/>
      <c r="T2"/>
      <c r="V2"/>
    </row>
    <row r="3" spans="2:22">
      <c r="D3" s="20" t="s">
        <v>67</v>
      </c>
    </row>
    <row r="4" spans="2:22" ht="14.25" thickBot="1">
      <c r="B4" s="20" t="s">
        <v>0</v>
      </c>
      <c r="D4" s="48" t="s">
        <v>1</v>
      </c>
      <c r="E4" s="55" t="s">
        <v>1</v>
      </c>
      <c r="F4" s="48" t="s">
        <v>171</v>
      </c>
      <c r="G4" s="48" t="s">
        <v>2</v>
      </c>
      <c r="H4" s="48" t="s">
        <v>211</v>
      </c>
      <c r="I4" s="48" t="s">
        <v>3</v>
      </c>
      <c r="J4" s="48" t="s">
        <v>212</v>
      </c>
      <c r="K4" s="48" t="s">
        <v>141</v>
      </c>
      <c r="L4" s="48" t="s">
        <v>68</v>
      </c>
      <c r="M4" s="48" t="s">
        <v>79</v>
      </c>
      <c r="N4" s="48" t="s">
        <v>79</v>
      </c>
      <c r="O4" s="48" t="s">
        <v>112</v>
      </c>
      <c r="P4" s="48" t="s">
        <v>181</v>
      </c>
      <c r="Q4" s="204" t="s">
        <v>72</v>
      </c>
      <c r="R4" s="48" t="s">
        <v>115</v>
      </c>
      <c r="S4" s="48" t="s">
        <v>142</v>
      </c>
      <c r="T4" s="48" t="s">
        <v>143</v>
      </c>
      <c r="V4" s="153" t="s">
        <v>1</v>
      </c>
    </row>
    <row r="5" spans="2:22" ht="14.25" thickBot="1">
      <c r="B5" s="51">
        <f>入力!C24</f>
        <v>1.7</v>
      </c>
      <c r="D5" s="48">
        <v>10</v>
      </c>
      <c r="E5" s="55">
        <f>IF(D5&lt;入力!$C$17,NA(),IF(D5&gt;入力!$H$48,NA(),D5))</f>
        <v>10</v>
      </c>
      <c r="F5" s="55">
        <f>IF(D5&gt;入力!C17,IF(B9*(1-B27)^(10-入力!C17)&gt;=P5,P5,B9*(1-B27)^(10-入力!C17)),IF(D5=入力!C17,入力!C18,NA()))</f>
        <v>2400</v>
      </c>
      <c r="G5" s="49">
        <f>'樹高計算 '!N3</f>
        <v>7.005377668918638</v>
      </c>
      <c r="H5" s="49">
        <f>直径材積計算!L2</f>
        <v>102.2800111677394</v>
      </c>
      <c r="I5" s="49">
        <f>直径材積計算!I2</f>
        <v>11.138932082557449</v>
      </c>
      <c r="J5" s="84">
        <f>H5/F5</f>
        <v>4.2616671319891421E-2</v>
      </c>
      <c r="K5" s="84">
        <f>ROUNDDOWN(直径材積計算!X2,2)</f>
        <v>0.53</v>
      </c>
      <c r="L5" s="55">
        <f>ROUNDUP(F5*N5,-1)</f>
        <v>0</v>
      </c>
      <c r="M5" s="62" t="e">
        <f>VLOOKUP(E5,入力!$H$38:$I$47,2,FALSE)</f>
        <v>#N/A</v>
      </c>
      <c r="N5" s="62">
        <f>SUMIF(M5,"&lt;&gt;#N/A")</f>
        <v>0</v>
      </c>
      <c r="O5" s="49">
        <f>直径材積計算!U2</f>
        <v>0</v>
      </c>
      <c r="P5" s="55">
        <f>直径材積計算!K118</f>
        <v>2414.4097777372367</v>
      </c>
      <c r="Q5" s="204">
        <f>直径材積計算!N2</f>
        <v>2400</v>
      </c>
      <c r="R5" s="49">
        <f>直径材積計算!T2</f>
        <v>102.2800111677394</v>
      </c>
      <c r="S5" s="49">
        <f>直径材積計算!S2</f>
        <v>11.138932082557449</v>
      </c>
      <c r="T5" s="84">
        <f>直径材積計算!Y2</f>
        <v>0.53912917556448103</v>
      </c>
      <c r="V5" s="153">
        <v>10</v>
      </c>
    </row>
    <row r="6" spans="2:22">
      <c r="D6" s="48">
        <v>11</v>
      </c>
      <c r="E6" s="55">
        <f>IF(D6&lt;入力!$C$17,NA(),IF(D6&gt;入力!$H$48,NA(),D6))</f>
        <v>11</v>
      </c>
      <c r="F6" s="55">
        <f>IF(E6&gt;入力!$C$17,IF(Q5&gt;=P5,P6,(F5-L5)*(1-$B$27)),IF(E6=入力!$C$17,入力!$C$18,NA()))</f>
        <v>2400</v>
      </c>
      <c r="G6" s="49">
        <f>'樹高計算 '!N4</f>
        <v>7.6866187767008665</v>
      </c>
      <c r="H6" s="49">
        <f>直径材積計算!L3</f>
        <v>124.22331651364004</v>
      </c>
      <c r="I6" s="49">
        <f>直径材積計算!I3</f>
        <v>11.817060145244328</v>
      </c>
      <c r="J6" s="84">
        <f t="shared" ref="J6:J69" si="0">H6/F6</f>
        <v>5.1759715214016684E-2</v>
      </c>
      <c r="K6" s="84">
        <f>ROUNDDOWN(直径材積計算!X3,2)</f>
        <v>0.56999999999999995</v>
      </c>
      <c r="L6" s="55">
        <f>ROUNDUP(F5*N6,-1)</f>
        <v>0</v>
      </c>
      <c r="M6" s="62" t="e">
        <f>VLOOKUP(E6,入力!$H$38:$I$47,2,FALSE)</f>
        <v>#N/A</v>
      </c>
      <c r="N6" s="62">
        <f>SUMIF(M6,"&lt;&gt;#N/A")</f>
        <v>0</v>
      </c>
      <c r="O6" s="49">
        <f>直径材積計算!U3</f>
        <v>0</v>
      </c>
      <c r="P6" s="55">
        <f>直径材積計算!K119</f>
        <v>2396.9280289345602</v>
      </c>
      <c r="Q6" s="204">
        <f>直径材積計算!N3</f>
        <v>2400</v>
      </c>
      <c r="R6" s="49">
        <f>直径材積計算!T3</f>
        <v>124.22331651364004</v>
      </c>
      <c r="S6" s="49">
        <f>直径材積計算!S3</f>
        <v>11.817060145244328</v>
      </c>
      <c r="T6" s="84">
        <f>直径材積計算!Y3</f>
        <v>0.57999766699305544</v>
      </c>
      <c r="V6" s="153">
        <v>11</v>
      </c>
    </row>
    <row r="7" spans="2:22">
      <c r="D7" s="48">
        <v>12</v>
      </c>
      <c r="E7" s="55">
        <f>IF(D7&lt;入力!$C$17,NA(),IF(D7&gt;入力!$H$48,NA(),D7))</f>
        <v>12</v>
      </c>
      <c r="F7" s="55">
        <f>IF(E7&gt;入力!$C$17,IF(Q6&gt;=P6,P7,(F6-L6)*(1-$B$27)),IF(E7=入力!$C$17,入力!$C$18,NA()))</f>
        <v>2378.6995149385252</v>
      </c>
      <c r="G7" s="49">
        <f>'樹高計算 '!N5</f>
        <v>8.3560214438217386</v>
      </c>
      <c r="H7" s="49">
        <f>直径材積計算!L4</f>
        <v>146.76866090703777</v>
      </c>
      <c r="I7" s="49">
        <f>直径材積計算!I4</f>
        <v>12.468685617754097</v>
      </c>
      <c r="J7" s="84">
        <f t="shared" si="0"/>
        <v>6.170121950473885E-2</v>
      </c>
      <c r="K7" s="84">
        <f>ROUNDDOWN(直径材積計算!X4,2)</f>
        <v>0.61</v>
      </c>
      <c r="L7" s="55">
        <f t="shared" ref="L7:L38" si="1">ROUNDUP(F7*N7,-1)</f>
        <v>0</v>
      </c>
      <c r="M7" s="62" t="e">
        <f>VLOOKUP(E7,入力!$H$38:$I$47,2,FALSE)</f>
        <v>#N/A</v>
      </c>
      <c r="N7" s="62">
        <f t="shared" ref="N7:N69" si="2">SUMIF(M7,"&lt;&gt;#N/A")</f>
        <v>0</v>
      </c>
      <c r="O7" s="49">
        <f>直径材積計算!U4</f>
        <v>0</v>
      </c>
      <c r="P7" s="55">
        <f>直径材積計算!K120</f>
        <v>2378.6995149385252</v>
      </c>
      <c r="Q7" s="204">
        <f>直径材積計算!N4</f>
        <v>2378.6995149385252</v>
      </c>
      <c r="R7" s="49">
        <f>直径材積計算!T4</f>
        <v>146.76866090703777</v>
      </c>
      <c r="S7" s="49">
        <f>直径材積計算!S4</f>
        <v>12.468685617754097</v>
      </c>
      <c r="T7" s="84">
        <f>直径材積計算!Y4</f>
        <v>0.61440882489371806</v>
      </c>
      <c r="V7" s="153">
        <v>12</v>
      </c>
    </row>
    <row r="8" spans="2:22">
      <c r="B8" s="20" t="s">
        <v>165</v>
      </c>
      <c r="D8" s="48">
        <v>13</v>
      </c>
      <c r="E8" s="55">
        <f>IF(D8&lt;入力!$C$17,NA(),IF(D8&gt;入力!$H$48,NA(),D8))</f>
        <v>13</v>
      </c>
      <c r="F8" s="55">
        <f>IF(E8&gt;入力!$C$17,IF(Q7&gt;=P7,P8,(F7-L7)*(1-$B$27)),IF(E8=入力!$C$17,入力!$C$18,NA()))</f>
        <v>2359.9216915640836</v>
      </c>
      <c r="G8" s="49">
        <f>'樹高計算 '!N6</f>
        <v>9.0132564321920068</v>
      </c>
      <c r="H8" s="49">
        <f>直径材積計算!L5</f>
        <v>170.35142162858887</v>
      </c>
      <c r="I8" s="49">
        <f>直径材積計算!I5</f>
        <v>13.068959350969083</v>
      </c>
      <c r="J8" s="84">
        <f t="shared" si="0"/>
        <v>7.2185200991006268E-2</v>
      </c>
      <c r="K8" s="84">
        <f>ROUNDDOWN(直径材積計算!X5,2)</f>
        <v>0.64</v>
      </c>
      <c r="L8" s="55">
        <f t="shared" si="1"/>
        <v>0</v>
      </c>
      <c r="M8" s="62" t="e">
        <f>VLOOKUP(E8,入力!$H$38:$I$47,2,FALSE)</f>
        <v>#N/A</v>
      </c>
      <c r="N8" s="62">
        <f t="shared" si="2"/>
        <v>0</v>
      </c>
      <c r="O8" s="49">
        <f>直径材積計算!U5</f>
        <v>0</v>
      </c>
      <c r="P8" s="55">
        <f>直径材積計算!K121</f>
        <v>2359.9216915640836</v>
      </c>
      <c r="Q8" s="204">
        <f>直径材積計算!N5</f>
        <v>2359.9216915640836</v>
      </c>
      <c r="R8" s="49">
        <f>直径材積計算!T5</f>
        <v>170.35142162858887</v>
      </c>
      <c r="S8" s="49">
        <f>直径材積計算!S5</f>
        <v>13.068959350969083</v>
      </c>
      <c r="T8" s="84">
        <f>直径材積計算!Y5</f>
        <v>0.64593872659071028</v>
      </c>
      <c r="V8" s="153">
        <v>13</v>
      </c>
    </row>
    <row r="9" spans="2:22">
      <c r="B9" s="59">
        <f>入力!C18</f>
        <v>2400</v>
      </c>
      <c r="D9" s="48">
        <v>14</v>
      </c>
      <c r="E9" s="55">
        <f>IF(D9&lt;入力!$C$17,NA(),IF(D9&gt;入力!$H$48,NA(),D9))</f>
        <v>14</v>
      </c>
      <c r="F9" s="55">
        <f>IF(E9&gt;入力!$C$17,IF(Q8&gt;=P8,P9,(F8-L8)*(1-$B$27)),IF(E9=入力!$C$17,入力!$C$18,NA()))</f>
        <v>2340.7662406907311</v>
      </c>
      <c r="G9" s="49">
        <f>'樹高計算 '!N7</f>
        <v>9.6580943635452208</v>
      </c>
      <c r="H9" s="49">
        <f>直径材積計算!L6</f>
        <v>194.70162037952747</v>
      </c>
      <c r="I9" s="49">
        <f>直径材積計算!I6</f>
        <v>13.628019851557575</v>
      </c>
      <c r="J9" s="84">
        <f t="shared" si="0"/>
        <v>8.3178583574442452E-2</v>
      </c>
      <c r="K9" s="84">
        <f>ROUNDDOWN(直径材積計算!X6,2)</f>
        <v>0.67</v>
      </c>
      <c r="L9" s="55">
        <f t="shared" si="1"/>
        <v>0</v>
      </c>
      <c r="M9" s="62" t="e">
        <f>VLOOKUP(E9,入力!$H$38:$I$47,2,FALSE)</f>
        <v>#N/A</v>
      </c>
      <c r="N9" s="62">
        <f t="shared" si="2"/>
        <v>0</v>
      </c>
      <c r="O9" s="49">
        <f>直径材積計算!U6</f>
        <v>0</v>
      </c>
      <c r="P9" s="55">
        <f>直径材積計算!K122</f>
        <v>2340.7662406907311</v>
      </c>
      <c r="Q9" s="204">
        <f>直径材積計算!N6</f>
        <v>2340.7662406907311</v>
      </c>
      <c r="R9" s="49">
        <f>直径材積計算!T6</f>
        <v>194.70162037952747</v>
      </c>
      <c r="S9" s="49">
        <f>直径材積計算!S6</f>
        <v>13.628019851557575</v>
      </c>
      <c r="T9" s="84">
        <f>直径材積計算!Y6</f>
        <v>0.67451407995314949</v>
      </c>
      <c r="V9" s="153">
        <v>14</v>
      </c>
    </row>
    <row r="10" spans="2:22">
      <c r="B10" s="59"/>
      <c r="D10" s="48">
        <v>15</v>
      </c>
      <c r="E10" s="55">
        <f>IF(D10&lt;入力!$C$17,NA(),IF(D10&gt;入力!$H$48,NA(),D10))</f>
        <v>15</v>
      </c>
      <c r="F10" s="55">
        <f>IF(E10&gt;入力!$C$17,IF(Q9&gt;=P9,P10,(F9-L9)*(1-$B$27)),IF(E10=入力!$C$17,入力!$C$18,NA()))</f>
        <v>2321.3807070057342</v>
      </c>
      <c r="G10" s="49">
        <f>'樹高計算 '!N8</f>
        <v>10.290382189294702</v>
      </c>
      <c r="H10" s="49">
        <f>直径材積計算!L7</f>
        <v>219.66196464449416</v>
      </c>
      <c r="I10" s="49">
        <f>直径材積計算!I7</f>
        <v>14.15072273584609</v>
      </c>
      <c r="J10" s="84">
        <f t="shared" si="0"/>
        <v>9.4625566578361145E-2</v>
      </c>
      <c r="K10" s="84">
        <f>ROUNDDOWN(直径材積計算!X7,2)</f>
        <v>0.7</v>
      </c>
      <c r="L10" s="55">
        <f t="shared" si="1"/>
        <v>0</v>
      </c>
      <c r="M10" s="62" t="e">
        <f>VLOOKUP(E10,入力!$H$38:$I$47,2,FALSE)</f>
        <v>#N/A</v>
      </c>
      <c r="N10" s="62">
        <f>SUMIF(M10,"&lt;&gt;#N/A")</f>
        <v>0</v>
      </c>
      <c r="O10" s="49">
        <f>直径材積計算!U7</f>
        <v>0</v>
      </c>
      <c r="P10" s="55">
        <f>直径材積計算!K123</f>
        <v>2321.3807070057342</v>
      </c>
      <c r="Q10" s="204">
        <f>直径材積計算!N7</f>
        <v>2321.3807070057342</v>
      </c>
      <c r="R10" s="49">
        <f>直径材積計算!T7</f>
        <v>219.66196464449416</v>
      </c>
      <c r="S10" s="49">
        <f>直径材積計算!S7</f>
        <v>14.15072273584609</v>
      </c>
      <c r="T10" s="84">
        <f>直径材積計算!Y7</f>
        <v>0.70045488300666847</v>
      </c>
      <c r="V10" s="153">
        <v>15</v>
      </c>
    </row>
    <row r="11" spans="2:22">
      <c r="D11" s="48">
        <v>16</v>
      </c>
      <c r="E11" s="55">
        <f>IF(D11&lt;入力!$C$17,NA(),IF(D11&gt;入力!$H$48,NA(),D11))</f>
        <v>16</v>
      </c>
      <c r="F11" s="55">
        <f>IF(E11&gt;入力!$C$17,IF(Q10&gt;=P10,P11,(F10-L10)*(1-$B$27)),IF(E11=入力!$C$17,入力!$C$18,NA()))</f>
        <v>2301.8907004546645</v>
      </c>
      <c r="G11" s="49">
        <f>'樹高計算 '!N9</f>
        <v>10.910026199109787</v>
      </c>
      <c r="H11" s="49">
        <f>直径材積計算!L8</f>
        <v>245.09492476727775</v>
      </c>
      <c r="I11" s="49">
        <f>直径材積計算!I8</f>
        <v>14.641189504521389</v>
      </c>
      <c r="J11" s="84">
        <f t="shared" si="0"/>
        <v>0.10647548327071617</v>
      </c>
      <c r="K11" s="84">
        <f>ROUNDDOWN(直径材積計算!X8,2)</f>
        <v>0.72</v>
      </c>
      <c r="L11" s="55">
        <f t="shared" si="1"/>
        <v>0</v>
      </c>
      <c r="M11" s="62" t="e">
        <f>VLOOKUP(E11,入力!$H$38:$I$47,2,FALSE)</f>
        <v>#N/A</v>
      </c>
      <c r="N11" s="62">
        <f t="shared" si="2"/>
        <v>0</v>
      </c>
      <c r="O11" s="49">
        <f>直径材積計算!U8</f>
        <v>0</v>
      </c>
      <c r="P11" s="55">
        <f>直径材積計算!K124</f>
        <v>2301.8907004546645</v>
      </c>
      <c r="Q11" s="204">
        <f>直径材積計算!N8</f>
        <v>2301.8907004546645</v>
      </c>
      <c r="R11" s="49">
        <f>直径材積計算!T8</f>
        <v>245.09492476727775</v>
      </c>
      <c r="S11" s="49">
        <f>直径材積計算!S8</f>
        <v>14.641189504521389</v>
      </c>
      <c r="T11" s="84">
        <f>直径材積計算!Y8</f>
        <v>0.72404923070116278</v>
      </c>
      <c r="V11" s="153">
        <v>16</v>
      </c>
    </row>
    <row r="12" spans="2:22">
      <c r="D12" s="48">
        <v>17</v>
      </c>
      <c r="E12" s="55">
        <f>IF(D12&lt;入力!$C$17,NA(),IF(D12&gt;入力!$H$48,NA(),D12))</f>
        <v>17</v>
      </c>
      <c r="F12" s="55">
        <f>IF(E12&gt;入力!$C$17,IF(Q11&gt;=P11,P12,(F11-L11)*(1-$B$27)),IF(E12=入力!$C$17,入力!$C$18,NA()))</f>
        <v>2282.402289098367</v>
      </c>
      <c r="G12" s="49">
        <f>'樹高計算 '!N10</f>
        <v>11.516979531457144</v>
      </c>
      <c r="H12" s="49">
        <f>直径材積計算!L9</f>
        <v>270.88036921106317</v>
      </c>
      <c r="I12" s="49">
        <f>直径材積計算!I9</f>
        <v>15.102923750828976</v>
      </c>
      <c r="J12" s="84">
        <f t="shared" si="0"/>
        <v>0.11868213176305169</v>
      </c>
      <c r="K12" s="84">
        <f>ROUNDDOWN(直径材積計算!X9,2)</f>
        <v>0.74</v>
      </c>
      <c r="L12" s="55">
        <f t="shared" si="1"/>
        <v>0</v>
      </c>
      <c r="M12" s="62" t="e">
        <f>VLOOKUP(E12,入力!$H$38:$I$47,2,FALSE)</f>
        <v>#N/A</v>
      </c>
      <c r="N12" s="62">
        <f t="shared" si="2"/>
        <v>0</v>
      </c>
      <c r="O12" s="49">
        <f>直径材積計算!U9</f>
        <v>0</v>
      </c>
      <c r="P12" s="55">
        <f>直径材積計算!K125</f>
        <v>2282.402289098367</v>
      </c>
      <c r="Q12" s="204">
        <f>直径材積計算!N9</f>
        <v>2282.402289098367</v>
      </c>
      <c r="R12" s="49">
        <f>直径材積計算!T9</f>
        <v>270.88036921106317</v>
      </c>
      <c r="S12" s="49">
        <f>直径材積計算!S9</f>
        <v>15.102923750828976</v>
      </c>
      <c r="T12" s="84">
        <f>直径材積計算!Y9</f>
        <v>0.74555378117272408</v>
      </c>
      <c r="V12" s="153">
        <v>17</v>
      </c>
    </row>
    <row r="13" spans="2:22">
      <c r="B13" s="20" t="s">
        <v>110</v>
      </c>
      <c r="D13" s="48">
        <v>18</v>
      </c>
      <c r="E13" s="55">
        <f>IF(D13&lt;入力!$C$17,NA(),IF(D13&gt;入力!$H$48,NA(),D13))</f>
        <v>18</v>
      </c>
      <c r="F13" s="55">
        <f>IF(E13&gt;入力!$C$17,IF(Q12&gt;=P12,P13,(F12-L12)*(1-$B$27)),IF(E13=入力!$C$17,入力!$C$18,NA()))</f>
        <v>2263.0043655536742</v>
      </c>
      <c r="G13" s="49">
        <f>'樹高計算 '!N11</f>
        <v>12.111232869455735</v>
      </c>
      <c r="H13" s="49">
        <f>直径材積計算!L10</f>
        <v>296.91335942972614</v>
      </c>
      <c r="I13" s="49">
        <f>直径材積計算!I10</f>
        <v>15.538911291599399</v>
      </c>
      <c r="J13" s="84">
        <f t="shared" si="0"/>
        <v>0.13120317572038015</v>
      </c>
      <c r="K13" s="84">
        <f>ROUNDDOWN(直径材積計算!X10,2)</f>
        <v>0.76</v>
      </c>
      <c r="L13" s="55">
        <f t="shared" si="1"/>
        <v>0</v>
      </c>
      <c r="M13" s="62" t="e">
        <f>VLOOKUP(E13,入力!$H$38:$I$47,2,FALSE)</f>
        <v>#N/A</v>
      </c>
      <c r="N13" s="62">
        <f t="shared" si="2"/>
        <v>0</v>
      </c>
      <c r="O13" s="49">
        <f>直径材積計算!U10</f>
        <v>0</v>
      </c>
      <c r="P13" s="55">
        <f>直径材積計算!K126</f>
        <v>2263.0043655536742</v>
      </c>
      <c r="Q13" s="204">
        <f>直径材積計算!N10</f>
        <v>2263.0043655536742</v>
      </c>
      <c r="R13" s="49">
        <f>直径材積計算!T10</f>
        <v>296.91335942972614</v>
      </c>
      <c r="S13" s="49">
        <f>直径材積計算!S10</f>
        <v>15.538911291599399</v>
      </c>
      <c r="T13" s="84">
        <f>直径材積計算!Y10</f>
        <v>0.76519570415109928</v>
      </c>
      <c r="V13" s="153">
        <v>18</v>
      </c>
    </row>
    <row r="14" spans="2:22">
      <c r="B14" s="20" t="s">
        <v>32</v>
      </c>
      <c r="D14" s="48">
        <v>19</v>
      </c>
      <c r="E14" s="55">
        <f>IF(D14&lt;入力!$C$17,NA(),IF(D14&gt;入力!$H$48,NA(),D14))</f>
        <v>19</v>
      </c>
      <c r="F14" s="55">
        <f>IF(E14&gt;入力!$C$17,IF(Q13&gt;=P13,P14,(F13-L13)*(1-$B$27)),IF(E14=入力!$C$17,入力!$C$18,NA()))</f>
        <v>2243.7708697822568</v>
      </c>
      <c r="G14" s="49">
        <f>'樹高計算 '!N12</f>
        <v>12.692807439777415</v>
      </c>
      <c r="H14" s="49">
        <f>直径材積計算!L11</f>
        <v>323.10217185137168</v>
      </c>
      <c r="I14" s="49">
        <f>直径材積計算!I11</f>
        <v>15.951704886413307</v>
      </c>
      <c r="J14" s="84">
        <f t="shared" si="0"/>
        <v>0.14399962857291512</v>
      </c>
      <c r="K14" s="84">
        <f>ROUNDDOWN(直径材積計算!X11,2)</f>
        <v>0.78</v>
      </c>
      <c r="L14" s="55">
        <f t="shared" si="1"/>
        <v>0</v>
      </c>
      <c r="M14" s="62" t="e">
        <f>VLOOKUP(E14,入力!$H$38:$I$47,2,FALSE)</f>
        <v>#N/A</v>
      </c>
      <c r="N14" s="62">
        <f t="shared" si="2"/>
        <v>0</v>
      </c>
      <c r="O14" s="49">
        <f>直径材積計算!U11</f>
        <v>0</v>
      </c>
      <c r="P14" s="55">
        <f>直径材積計算!K127</f>
        <v>2243.7708697822568</v>
      </c>
      <c r="Q14" s="204">
        <f>直径材積計算!N11</f>
        <v>2243.7708697822568</v>
      </c>
      <c r="R14" s="49">
        <f>直径材積計算!T11</f>
        <v>323.10217185137168</v>
      </c>
      <c r="S14" s="49">
        <f>直径材積計算!S11</f>
        <v>15.951704886413307</v>
      </c>
      <c r="T14" s="84">
        <f>直径材積計算!Y11</f>
        <v>0.78317530264863533</v>
      </c>
      <c r="V14" s="153">
        <v>19</v>
      </c>
    </row>
    <row r="15" spans="2:22">
      <c r="D15" s="48">
        <v>20</v>
      </c>
      <c r="E15" s="55">
        <f>IF(D15&lt;入力!$C$17,NA(),IF(D15&gt;入力!$H$48,NA(),D15))</f>
        <v>20</v>
      </c>
      <c r="F15" s="55">
        <f>IF(E15&gt;入力!$C$17,IF(Q14&gt;=P14,P15,(F14-L14)*(1-$B$27)),IF(E15=入力!$C$17,入力!$C$18,NA()))</f>
        <v>2224.7628122291453</v>
      </c>
      <c r="G15" s="49">
        <f>'樹高計算 '!N13</f>
        <v>13.261749704127018</v>
      </c>
      <c r="H15" s="49">
        <f>直径材積計算!L12</f>
        <v>349.36656442215394</v>
      </c>
      <c r="I15" s="49">
        <f>直径材積計算!I12</f>
        <v>16.343495164728143</v>
      </c>
      <c r="J15" s="84">
        <f t="shared" si="0"/>
        <v>0.15703542081058933</v>
      </c>
      <c r="K15" s="84">
        <f>ROUNDDOWN(直径材積計算!X12,2)</f>
        <v>0.79</v>
      </c>
      <c r="L15" s="55">
        <f t="shared" si="1"/>
        <v>0</v>
      </c>
      <c r="M15" s="62" t="e">
        <f>VLOOKUP(E15,入力!$H$38:$I$47,2,FALSE)</f>
        <v>#N/A</v>
      </c>
      <c r="N15" s="62">
        <f t="shared" si="2"/>
        <v>0</v>
      </c>
      <c r="O15" s="49">
        <f>直径材積計算!U12</f>
        <v>0</v>
      </c>
      <c r="P15" s="55">
        <f>直径材積計算!K128</f>
        <v>2224.7628122291453</v>
      </c>
      <c r="Q15" s="204">
        <f>直径材積計算!N12</f>
        <v>2224.7628122291453</v>
      </c>
      <c r="R15" s="49">
        <f>直径材積計算!T12</f>
        <v>349.36656442215394</v>
      </c>
      <c r="S15" s="49">
        <f>直径材積計算!S12</f>
        <v>16.343495164728143</v>
      </c>
      <c r="T15" s="84">
        <f>直径材積計算!Y12</f>
        <v>0.79966884212340517</v>
      </c>
      <c r="V15" s="153">
        <v>20</v>
      </c>
    </row>
    <row r="16" spans="2:22">
      <c r="D16" s="48">
        <v>21</v>
      </c>
      <c r="E16" s="55">
        <f>IF(D16&lt;入力!$C$17,NA(),IF(D16&gt;入力!$H$48,NA(),D16))</f>
        <v>21</v>
      </c>
      <c r="F16" s="55">
        <f>IF(E16&gt;入力!$C$17,IF(Q15&gt;=P15,P16,(F15-L15)*(1-$B$27)),IF(E16=入力!$C$17,入力!$C$18,NA()))</f>
        <v>2206.0300779597787</v>
      </c>
      <c r="G16" s="49">
        <f>'樹高計算 '!N14</f>
        <v>13.818127308626075</v>
      </c>
      <c r="H16" s="49">
        <f>直径材積計算!L13</f>
        <v>375.63627903669754</v>
      </c>
      <c r="I16" s="49">
        <f>直径材積計算!I13</f>
        <v>16.71616965714956</v>
      </c>
      <c r="J16" s="84">
        <f t="shared" si="0"/>
        <v>0.17027704326864862</v>
      </c>
      <c r="K16" s="84">
        <f>ROUNDDOWN(直径材積計算!X13,2)</f>
        <v>0.81</v>
      </c>
      <c r="L16" s="55">
        <f t="shared" si="1"/>
        <v>0</v>
      </c>
      <c r="M16" s="62" t="e">
        <f>VLOOKUP(E16,入力!$H$38:$I$47,2,FALSE)</f>
        <v>#N/A</v>
      </c>
      <c r="N16" s="62">
        <f t="shared" si="2"/>
        <v>0</v>
      </c>
      <c r="O16" s="49">
        <f>直径材積計算!U13</f>
        <v>0</v>
      </c>
      <c r="P16" s="55">
        <f>直径材積計算!K129</f>
        <v>2206.0300779597787</v>
      </c>
      <c r="Q16" s="204">
        <f>直径材積計算!N13</f>
        <v>2206.0300779597787</v>
      </c>
      <c r="R16" s="49">
        <f>直径材積計算!T13</f>
        <v>375.63627903669754</v>
      </c>
      <c r="S16" s="49">
        <f>直径材積計算!S13</f>
        <v>16.71616965714956</v>
      </c>
      <c r="T16" s="84">
        <f>直径材積計算!Y13</f>
        <v>0.81483132953753434</v>
      </c>
      <c r="V16" s="153">
        <v>21</v>
      </c>
    </row>
    <row r="17" spans="2:22">
      <c r="B17" s="20" t="s">
        <v>77</v>
      </c>
      <c r="D17" s="48">
        <v>22</v>
      </c>
      <c r="E17" s="55">
        <f>IF(D17&lt;入力!$C$17,NA(),IF(D17&gt;入力!$H$48,NA(),D17))</f>
        <v>22</v>
      </c>
      <c r="F17" s="55">
        <f>IF(E17&gt;入力!$C$17,IF(Q16&gt;=P16,P17,(F16-L16)*(1-$B$27)),IF(E17=入力!$C$17,入力!$C$18,NA()))</f>
        <v>2187.6130135408257</v>
      </c>
      <c r="G17" s="49">
        <f>'樹高計算 '!N15</f>
        <v>14.362025973710765</v>
      </c>
      <c r="H17" s="49">
        <f>直径材積計算!L14</f>
        <v>401.8497588205708</v>
      </c>
      <c r="I17" s="49">
        <f>直径材積計算!I14</f>
        <v>17.07136178153004</v>
      </c>
      <c r="J17" s="84">
        <f t="shared" si="0"/>
        <v>0.18369325668352329</v>
      </c>
      <c r="K17" s="84">
        <f>ROUNDDOWN(直径材積計算!X14,2)</f>
        <v>0.82</v>
      </c>
      <c r="L17" s="55">
        <f t="shared" si="1"/>
        <v>0</v>
      </c>
      <c r="M17" s="62" t="e">
        <f>VLOOKUP(E17,入力!$H$38:$I$47,2,FALSE)</f>
        <v>#N/A</v>
      </c>
      <c r="N17" s="62">
        <f t="shared" si="2"/>
        <v>0</v>
      </c>
      <c r="O17" s="49">
        <f>直径材積計算!U14</f>
        <v>0</v>
      </c>
      <c r="P17" s="55">
        <f>直径材積計算!K130</f>
        <v>2187.6130135408257</v>
      </c>
      <c r="Q17" s="204">
        <f>直径材積計算!N14</f>
        <v>2187.6130135408257</v>
      </c>
      <c r="R17" s="49">
        <f>直径材積計算!T14</f>
        <v>401.8497588205708</v>
      </c>
      <c r="S17" s="49">
        <f>直径材積計算!S14</f>
        <v>17.07136178153004</v>
      </c>
      <c r="T17" s="84">
        <f>直径材積計算!Y14</f>
        <v>0.82879910950820046</v>
      </c>
      <c r="V17" s="153">
        <v>22</v>
      </c>
    </row>
    <row r="18" spans="2:22">
      <c r="B18" s="20" t="s">
        <v>78</v>
      </c>
      <c r="D18" s="48">
        <v>23</v>
      </c>
      <c r="E18" s="55">
        <f>IF(D18&lt;入力!$C$17,NA(),IF(D18&gt;入力!$H$48,NA(),D18))</f>
        <v>23</v>
      </c>
      <c r="F18" s="55">
        <f>IF(E18&gt;入力!$C$17,IF(Q17&gt;=P17,P18,(F17-L17)*(1-$B$27)),IF(E18=入力!$C$17,入力!$C$18,NA()))</f>
        <v>2169.5438098124546</v>
      </c>
      <c r="G18" s="49">
        <f>'樹高計算 '!N16</f>
        <v>14.893547087821741</v>
      </c>
      <c r="H18" s="49">
        <f>直径材積計算!L15</f>
        <v>427.95305457127449</v>
      </c>
      <c r="I18" s="49">
        <f>直径材積計算!I15</f>
        <v>17.410491451585159</v>
      </c>
      <c r="J18" s="84">
        <f t="shared" si="0"/>
        <v>0.19725485728184891</v>
      </c>
      <c r="K18" s="84">
        <f>ROUNDDOWN(直径材積計算!X15,2)</f>
        <v>0.84</v>
      </c>
      <c r="L18" s="55">
        <f t="shared" si="1"/>
        <v>0</v>
      </c>
      <c r="M18" s="62" t="e">
        <f>VLOOKUP(E18,入力!$H$38:$I$47,2,FALSE)</f>
        <v>#N/A</v>
      </c>
      <c r="N18" s="62">
        <f t="shared" si="2"/>
        <v>0</v>
      </c>
      <c r="O18" s="49">
        <f>直径材積計算!U15</f>
        <v>0</v>
      </c>
      <c r="P18" s="55">
        <f>直径材積計算!K131</f>
        <v>2169.5438098124546</v>
      </c>
      <c r="Q18" s="204">
        <f>直径材積計算!N15</f>
        <v>2169.5438098124546</v>
      </c>
      <c r="R18" s="49">
        <f>直径材積計算!T15</f>
        <v>427.95305457127449</v>
      </c>
      <c r="S18" s="49">
        <f>直径材積計算!S15</f>
        <v>17.410491451585159</v>
      </c>
      <c r="T18" s="84">
        <f>直径材積計算!Y15</f>
        <v>0.84169221821162155</v>
      </c>
      <c r="V18" s="153">
        <v>23</v>
      </c>
    </row>
    <row r="19" spans="2:22">
      <c r="D19" s="48">
        <v>24</v>
      </c>
      <c r="E19" s="55">
        <f>IF(D19&lt;入力!$C$17,NA(),IF(D19&gt;入力!$H$48,NA(),D19))</f>
        <v>24</v>
      </c>
      <c r="F19" s="55">
        <f>IF(E19&gt;入力!$C$17,IF(Q18&gt;=P18,P19,(F18-L18)*(1-$B$27)),IF(E19=入力!$C$17,入力!$C$18,NA()))</f>
        <v>2151.8476991637572</v>
      </c>
      <c r="G19" s="49">
        <f>'樹高計算 '!N17</f>
        <v>15.412805825357026</v>
      </c>
      <c r="H19" s="49">
        <f>直径材積計算!L16</f>
        <v>453.89889415417747</v>
      </c>
      <c r="I19" s="49">
        <f>直径材積計算!I16</f>
        <v>17.734798748539937</v>
      </c>
      <c r="J19" s="84">
        <f t="shared" si="0"/>
        <v>0.21093448868642978</v>
      </c>
      <c r="K19" s="84">
        <f>ROUNDDOWN(直径材積計算!X16,2)</f>
        <v>0.85</v>
      </c>
      <c r="L19" s="55">
        <f t="shared" si="1"/>
        <v>0</v>
      </c>
      <c r="M19" s="62" t="e">
        <f>VLOOKUP(E19,入力!$H$38:$I$47,2,FALSE)</f>
        <v>#N/A</v>
      </c>
      <c r="N19" s="62">
        <f t="shared" si="2"/>
        <v>0</v>
      </c>
      <c r="O19" s="49">
        <f>直径材積計算!U16</f>
        <v>0</v>
      </c>
      <c r="P19" s="55">
        <f>直径材積計算!K132</f>
        <v>2151.8476991637572</v>
      </c>
      <c r="Q19" s="204">
        <f>直径材積計算!N16</f>
        <v>2151.8476991637572</v>
      </c>
      <c r="R19" s="49">
        <f>直径材積計算!T16</f>
        <v>453.89889415417747</v>
      </c>
      <c r="S19" s="49">
        <f>直径材積計算!S16</f>
        <v>17.734798748539937</v>
      </c>
      <c r="T19" s="84">
        <f>直径材積計算!Y16</f>
        <v>0.85361647783445405</v>
      </c>
      <c r="V19" s="153">
        <v>24</v>
      </c>
    </row>
    <row r="20" spans="2:22">
      <c r="D20" s="48">
        <v>25</v>
      </c>
      <c r="E20" s="55">
        <f>IF(D20&lt;入力!$C$17,NA(),IF(D20&gt;入力!$H$48,NA(),D20))</f>
        <v>25</v>
      </c>
      <c r="F20" s="55">
        <f>IF(E20&gt;入力!$C$17,IF(Q19&gt;=P19,P20,(F19-L19)*(1-$B$27)),IF(E20=入力!$C$17,入力!$C$18,NA()))</f>
        <v>2134.5439878349262</v>
      </c>
      <c r="G20" s="49">
        <f>'樹高計算 '!N18</f>
        <v>15.919929651162615</v>
      </c>
      <c r="H20" s="49">
        <f>直径材積計算!L17</f>
        <v>479.64589023952368</v>
      </c>
      <c r="I20" s="49">
        <f>直径材積計算!I17</f>
        <v>18.04537187006207</v>
      </c>
      <c r="J20" s="84">
        <f t="shared" si="0"/>
        <v>0.2247064913972702</v>
      </c>
      <c r="K20" s="84">
        <f>ROUNDDOWN(直径材積計算!X17,2)</f>
        <v>0.86</v>
      </c>
      <c r="L20" s="55">
        <f t="shared" si="1"/>
        <v>0</v>
      </c>
      <c r="M20" s="62" t="e">
        <f>VLOOKUP(E20,入力!$H$38:$I$47,2,FALSE)</f>
        <v>#N/A</v>
      </c>
      <c r="N20" s="62">
        <f t="shared" si="2"/>
        <v>0</v>
      </c>
      <c r="O20" s="49">
        <f>直径材積計算!U17</f>
        <v>0</v>
      </c>
      <c r="P20" s="55">
        <f>直径材積計算!K133</f>
        <v>2134.5439878349262</v>
      </c>
      <c r="Q20" s="204">
        <f>直径材積計算!N17</f>
        <v>2134.5439878349262</v>
      </c>
      <c r="R20" s="49">
        <f>直径材積計算!T17</f>
        <v>479.64589023952368</v>
      </c>
      <c r="S20" s="49">
        <f>直径材積計算!S17</f>
        <v>18.04537187006207</v>
      </c>
      <c r="T20" s="84">
        <f>直径材積計算!Y17</f>
        <v>0.8646653375417257</v>
      </c>
      <c r="V20" s="153">
        <v>25</v>
      </c>
    </row>
    <row r="21" spans="2:22">
      <c r="B21" s="56" t="s">
        <v>70</v>
      </c>
      <c r="D21" s="48">
        <v>26</v>
      </c>
      <c r="E21" s="55">
        <f>IF(D21&lt;入力!$C$17,NA(),IF(D21&gt;入力!$H$48,NA(),D21))</f>
        <v>26</v>
      </c>
      <c r="F21" s="55">
        <f>IF(E21&gt;入力!$C$17,IF(Q20&gt;=P20,P21,(F20-L20)*(1-$B$27)),IF(E21=入力!$C$17,入力!$C$18,NA()))</f>
        <v>2117.6469436323105</v>
      </c>
      <c r="G21" s="49">
        <f>'樹高計算 '!N19</f>
        <v>16.415057105306442</v>
      </c>
      <c r="H21" s="49">
        <f>直径材積計算!L18</f>
        <v>505.15786429703888</v>
      </c>
      <c r="I21" s="49">
        <f>直径材積計算!I18</f>
        <v>18.343170365246365</v>
      </c>
      <c r="J21" s="84">
        <f t="shared" si="0"/>
        <v>0.23854678222733527</v>
      </c>
      <c r="K21" s="84">
        <f>ROUNDDOWN(直径材積計算!X18,2)</f>
        <v>0.87</v>
      </c>
      <c r="L21" s="55">
        <f t="shared" si="1"/>
        <v>0</v>
      </c>
      <c r="M21" s="62" t="e">
        <f>VLOOKUP(E21,入力!$H$38:$I$47,2,FALSE)</f>
        <v>#N/A</v>
      </c>
      <c r="N21" s="62">
        <f t="shared" si="2"/>
        <v>0</v>
      </c>
      <c r="O21" s="49">
        <f>直径材積計算!U18</f>
        <v>0</v>
      </c>
      <c r="P21" s="55">
        <f>直径材積計算!K134</f>
        <v>2117.6469436323105</v>
      </c>
      <c r="Q21" s="204">
        <f>直径材積計算!N18</f>
        <v>2117.6469436323105</v>
      </c>
      <c r="R21" s="49">
        <f>直径材積計算!T18</f>
        <v>505.15786429703888</v>
      </c>
      <c r="S21" s="49">
        <f>直径材積計算!S18</f>
        <v>18.343170365246365</v>
      </c>
      <c r="T21" s="84">
        <f>直径材積計算!Y18</f>
        <v>0.87492147876876547</v>
      </c>
      <c r="V21" s="153">
        <v>26</v>
      </c>
    </row>
    <row r="22" spans="2:22">
      <c r="B22" s="20" t="s">
        <v>144</v>
      </c>
      <c r="D22" s="48">
        <v>27</v>
      </c>
      <c r="E22" s="55">
        <f>IF(D22&lt;入力!$C$17,NA(),IF(D22&gt;入力!$H$48,NA(),D22))</f>
        <v>27</v>
      </c>
      <c r="F22" s="55">
        <f>IF(E22&gt;入力!$C$17,IF(Q21&gt;=P21,P22,(F21-L21)*(1-$B$27)),IF(E22=入力!$C$17,入力!$C$18,NA()))</f>
        <v>2101.166558191509</v>
      </c>
      <c r="G22" s="49">
        <f>'樹高計算 '!N20</f>
        <v>16.898336786226629</v>
      </c>
      <c r="H22" s="49">
        <f>直径材積計算!L19</f>
        <v>530.4032675978408</v>
      </c>
      <c r="I22" s="49">
        <f>直径材積計算!I19</f>
        <v>18.629044486580348</v>
      </c>
      <c r="J22" s="84">
        <f t="shared" si="0"/>
        <v>0.25243275718911268</v>
      </c>
      <c r="K22" s="84">
        <f>ROUNDDOWN(直径材積計算!X19,2)</f>
        <v>0.88</v>
      </c>
      <c r="L22" s="55">
        <f t="shared" si="1"/>
        <v>0</v>
      </c>
      <c r="M22" s="62" t="e">
        <f>VLOOKUP(E22,入力!$H$38:$I$47,2,FALSE)</f>
        <v>#N/A</v>
      </c>
      <c r="N22" s="62">
        <f t="shared" si="2"/>
        <v>0</v>
      </c>
      <c r="O22" s="49">
        <f>直径材積計算!U19</f>
        <v>0</v>
      </c>
      <c r="P22" s="55">
        <f>直径材積計算!K135</f>
        <v>2101.166558191509</v>
      </c>
      <c r="Q22" s="204">
        <f>直径材積計算!N19</f>
        <v>2101.166558191509</v>
      </c>
      <c r="R22" s="49">
        <f>直径材積計算!T19</f>
        <v>530.4032675978408</v>
      </c>
      <c r="S22" s="49">
        <f>直径材積計算!S19</f>
        <v>18.629044486580348</v>
      </c>
      <c r="T22" s="84">
        <f>直径材積計算!Y19</f>
        <v>0.88445820782285334</v>
      </c>
      <c r="V22" s="153">
        <v>27</v>
      </c>
    </row>
    <row r="23" spans="2:22">
      <c r="B23" s="59"/>
      <c r="D23" s="48">
        <v>28</v>
      </c>
      <c r="E23" s="55">
        <f>IF(D23&lt;入力!$C$17,NA(),IF(D23&gt;入力!$H$48,NA(),D23))</f>
        <v>28</v>
      </c>
      <c r="F23" s="55">
        <f>IF(E23&gt;入力!$C$17,IF(Q22&gt;=P22,P23,(F22-L22)*(1-$B$27)),IF(E23=入力!$C$17,入力!$C$18,NA()))</f>
        <v>2085.1092011342921</v>
      </c>
      <c r="G23" s="49">
        <f>'樹高計算 '!N21</f>
        <v>17.369926469612402</v>
      </c>
      <c r="H23" s="49">
        <f>直径材積計算!L20</f>
        <v>555.35468277166194</v>
      </c>
      <c r="I23" s="49">
        <f>直径材積計算!I20</f>
        <v>18.903751340169272</v>
      </c>
      <c r="J23" s="84">
        <f t="shared" si="0"/>
        <v>0.26634321236966912</v>
      </c>
      <c r="K23" s="84">
        <f>ROUNDDOWN(直径材積計算!X20,2)</f>
        <v>0.89</v>
      </c>
      <c r="L23" s="55">
        <f t="shared" si="1"/>
        <v>0</v>
      </c>
      <c r="M23" s="62" t="e">
        <f>VLOOKUP(E23,入力!$H$38:$I$47,2,FALSE)</f>
        <v>#N/A</v>
      </c>
      <c r="N23" s="62">
        <f t="shared" si="2"/>
        <v>0</v>
      </c>
      <c r="O23" s="49">
        <f>直径材積計算!U20</f>
        <v>0</v>
      </c>
      <c r="P23" s="55">
        <f>直径材積計算!K136</f>
        <v>2085.1092011342921</v>
      </c>
      <c r="Q23" s="204">
        <f>直径材積計算!N20</f>
        <v>2085.1092011342921</v>
      </c>
      <c r="R23" s="49">
        <f>直径材積計算!T20</f>
        <v>555.35468277166194</v>
      </c>
      <c r="S23" s="49">
        <f>直径材積計算!S20</f>
        <v>18.903751340169272</v>
      </c>
      <c r="T23" s="84">
        <f>直径材積計算!Y20</f>
        <v>0.89334066014991687</v>
      </c>
      <c r="V23" s="153">
        <v>28</v>
      </c>
    </row>
    <row r="24" spans="2:22" ht="13.5" customHeight="1">
      <c r="B24" s="60"/>
      <c r="D24" s="48">
        <v>29</v>
      </c>
      <c r="E24" s="55">
        <f>IF(D24&lt;入力!$C$17,NA(),IF(D24&gt;入力!$H$48,NA(),D24))</f>
        <v>29</v>
      </c>
      <c r="F24" s="55">
        <f>IF(E24&gt;入力!$C$17,IF(Q23&gt;=P23,P24,(F23-L23)*(1-$B$27)),IF(E24=入力!$C$17,入力!$C$18,NA()))</f>
        <v>2069.4781814832136</v>
      </c>
      <c r="G24" s="49">
        <f>'樹高計算 '!N22</f>
        <v>17.829992315883583</v>
      </c>
      <c r="H24" s="49">
        <f>直径材積計算!L21</f>
        <v>579.98839206411412</v>
      </c>
      <c r="I24" s="49">
        <f>直径材積計算!I21</f>
        <v>19.167968391684589</v>
      </c>
      <c r="J24" s="84">
        <f t="shared" si="0"/>
        <v>0.28025827827207689</v>
      </c>
      <c r="K24" s="84">
        <f>ROUNDDOWN(直径材積計算!X21,2)</f>
        <v>0.9</v>
      </c>
      <c r="L24" s="55">
        <f t="shared" si="1"/>
        <v>0</v>
      </c>
      <c r="M24" s="62" t="e">
        <f>VLOOKUP(E24,入力!$H$38:$I$47,2,FALSE)</f>
        <v>#N/A</v>
      </c>
      <c r="N24" s="62">
        <f t="shared" si="2"/>
        <v>0</v>
      </c>
      <c r="O24" s="49">
        <f>直径材積計算!U21</f>
        <v>0</v>
      </c>
      <c r="P24" s="55">
        <f>直径材積計算!K137</f>
        <v>2069.4781814832136</v>
      </c>
      <c r="Q24" s="204">
        <f>直径材積計算!N21</f>
        <v>2069.4781814832136</v>
      </c>
      <c r="R24" s="49">
        <f>直径材積計算!T21</f>
        <v>579.98839206411412</v>
      </c>
      <c r="S24" s="49">
        <f>直径材積計算!S21</f>
        <v>19.167968391684589</v>
      </c>
      <c r="T24" s="84">
        <f>直径材積計算!Y21</f>
        <v>0.90162683990706161</v>
      </c>
      <c r="V24" s="153">
        <v>29</v>
      </c>
    </row>
    <row r="25" spans="2:22">
      <c r="D25" s="48">
        <v>30</v>
      </c>
      <c r="E25" s="55">
        <f>IF(D25&lt;入力!$C$17,NA(),IF(D25&gt;入力!$H$48,NA(),D25))</f>
        <v>30</v>
      </c>
      <c r="F25" s="55">
        <f>IF(E25&gt;入力!$C$17,IF(Q24&gt;=P24,P25,(F24-L24)*(1-$B$27)),IF(E25=入力!$C$17,入力!$C$18,NA()))</f>
        <v>2054.2742297248478</v>
      </c>
      <c r="G25" s="49">
        <f>'樹高計算 '!N23</f>
        <v>18.278708131736447</v>
      </c>
      <c r="H25" s="49">
        <f>直径材積計算!L22</f>
        <v>604.28400076205753</v>
      </c>
      <c r="I25" s="49">
        <f>直径材積計算!I22</f>
        <v>19.422304784112736</v>
      </c>
      <c r="J25" s="84">
        <f t="shared" si="0"/>
        <v>0.29415936393409176</v>
      </c>
      <c r="K25" s="84">
        <f>ROUNDDOWN(直径材積計算!X22,2)</f>
        <v>0.9</v>
      </c>
      <c r="L25" s="55">
        <f t="shared" si="1"/>
        <v>620</v>
      </c>
      <c r="M25" s="62">
        <f>VLOOKUP(E25,入力!$H$38:$I$47,2,FALSE)</f>
        <v>0.3</v>
      </c>
      <c r="N25" s="62">
        <f t="shared" si="2"/>
        <v>0.3</v>
      </c>
      <c r="O25" s="49">
        <f>直径材積計算!U22</f>
        <v>74.351706560826415</v>
      </c>
      <c r="P25" s="55">
        <f>直径材積計算!K138</f>
        <v>2054.2742297248478</v>
      </c>
      <c r="Q25" s="204">
        <f>直径材積計算!N22</f>
        <v>1434.2742297248478</v>
      </c>
      <c r="R25" s="49">
        <f>直径材積計算!T22</f>
        <v>529.93229420123112</v>
      </c>
      <c r="S25" s="49">
        <f>直径材積計算!S22</f>
        <v>22.434631252655976</v>
      </c>
      <c r="T25" s="84">
        <f>直径材積計算!Y22</f>
        <v>0.79747890681961453</v>
      </c>
      <c r="V25" s="153">
        <v>30</v>
      </c>
    </row>
    <row r="26" spans="2:22" ht="14.25" thickBot="1">
      <c r="B26" s="57" t="s">
        <v>71</v>
      </c>
      <c r="D26" s="48">
        <v>31</v>
      </c>
      <c r="E26" s="55">
        <f>IF(D26&lt;入力!$C$17,NA(),IF(D26&gt;入力!$H$48,NA(),D26))</f>
        <v>31</v>
      </c>
      <c r="F26" s="55">
        <f>IF(E26&gt;入力!$C$17,IF(Q25&gt;=P25,P26,(F25-L25)*(1-$B$27)),IF(E26=入力!$C$17,入力!$C$18,NA()))</f>
        <v>1434.2742297248478</v>
      </c>
      <c r="G26" s="49">
        <f>'樹高計算 '!N24</f>
        <v>18.716254661483859</v>
      </c>
      <c r="H26" s="49">
        <f>直径材積計算!L23</f>
        <v>553.65280486398251</v>
      </c>
      <c r="I26" s="49">
        <f>直径材積計算!I23</f>
        <v>22.681383906608374</v>
      </c>
      <c r="J26" s="84">
        <f t="shared" si="0"/>
        <v>0.38601600265117758</v>
      </c>
      <c r="K26" s="84">
        <f>ROUNDDOWN(直径材積計算!X23,2)</f>
        <v>0.8</v>
      </c>
      <c r="L26" s="55">
        <f t="shared" si="1"/>
        <v>0</v>
      </c>
      <c r="M26" s="62" t="e">
        <f>VLOOKUP(E26,入力!$H$38:$I$47,2,FALSE)</f>
        <v>#N/A</v>
      </c>
      <c r="N26" s="62">
        <f t="shared" si="2"/>
        <v>0</v>
      </c>
      <c r="O26" s="49">
        <f>直径材積計算!U23</f>
        <v>0</v>
      </c>
      <c r="P26" s="55">
        <f>直径材積計算!K139</f>
        <v>2039.4959120598244</v>
      </c>
      <c r="Q26" s="204">
        <f>直径材積計算!N23</f>
        <v>1434.2742297248478</v>
      </c>
      <c r="R26" s="49">
        <f>直径材積計算!T23</f>
        <v>553.65280486398251</v>
      </c>
      <c r="S26" s="49">
        <f>直径材積計算!S23</f>
        <v>22.681383906608374</v>
      </c>
      <c r="T26" s="84">
        <f>直径材積計算!Y23</f>
        <v>0.80780854996021612</v>
      </c>
      <c r="V26" s="153">
        <v>31</v>
      </c>
    </row>
    <row r="27" spans="2:22" ht="14.25" thickBot="1">
      <c r="B27" s="58">
        <f>入力!C26</f>
        <v>0</v>
      </c>
      <c r="D27" s="48">
        <v>32</v>
      </c>
      <c r="E27" s="55">
        <f>IF(D27&lt;入力!$C$17,NA(),IF(D27&gt;入力!$H$48,NA(),D27))</f>
        <v>32</v>
      </c>
      <c r="F27" s="55">
        <f>IF(E27&gt;入力!$C$17,IF(Q26&gt;=P26,P27,(F26-L26)*(1-$B$27)),IF(E27=入力!$C$17,入力!$C$18,NA()))</f>
        <v>1434.2742297248478</v>
      </c>
      <c r="G27" s="49">
        <f>'樹高計算 '!N25</f>
        <v>19.142818892220774</v>
      </c>
      <c r="H27" s="49">
        <f>直径材積計算!L24</f>
        <v>577.10600989738703</v>
      </c>
      <c r="I27" s="49">
        <f>直径材積計算!I24</f>
        <v>22.915702954956895</v>
      </c>
      <c r="J27" s="84">
        <f t="shared" si="0"/>
        <v>0.40236796976272765</v>
      </c>
      <c r="K27" s="84">
        <f>ROUNDDOWN(直径材積計算!X24,2)</f>
        <v>0.81</v>
      </c>
      <c r="L27" s="55">
        <f t="shared" si="1"/>
        <v>0</v>
      </c>
      <c r="M27" s="62" t="e">
        <f>VLOOKUP(E27,入力!$H$38:$I$47,2,FALSE)</f>
        <v>#N/A</v>
      </c>
      <c r="N27" s="62">
        <f t="shared" si="2"/>
        <v>0</v>
      </c>
      <c r="O27" s="49">
        <f>直径材積計算!U24</f>
        <v>0</v>
      </c>
      <c r="P27" s="55">
        <f>直径材積計算!K140</f>
        <v>2025.1399867002756</v>
      </c>
      <c r="Q27" s="204">
        <f>直径材積計算!N24</f>
        <v>1434.2742297248478</v>
      </c>
      <c r="R27" s="49">
        <f>直径材積計算!T24</f>
        <v>577.10600989738703</v>
      </c>
      <c r="S27" s="49">
        <f>直径材積計算!S24</f>
        <v>22.915702954956895</v>
      </c>
      <c r="T27" s="84">
        <f>直径材積計算!Y24</f>
        <v>0.81758806381640869</v>
      </c>
      <c r="V27" s="153">
        <v>32</v>
      </c>
    </row>
    <row r="28" spans="2:22">
      <c r="B28" s="20" t="s">
        <v>73</v>
      </c>
      <c r="D28" s="48">
        <v>33</v>
      </c>
      <c r="E28" s="55">
        <f>IF(D28&lt;入力!$C$17,NA(),IF(D28&gt;入力!$H$48,NA(),D28))</f>
        <v>33</v>
      </c>
      <c r="F28" s="55">
        <f>IF(E28&gt;入力!$C$17,IF(Q27&gt;=P27,P28,(F27-L27)*(1-$B$27)),IF(E28=入力!$C$17,入力!$C$18,NA()))</f>
        <v>1434.2742297248478</v>
      </c>
      <c r="G28" s="49">
        <f>'樹高計算 '!N26</f>
        <v>19.558593363470184</v>
      </c>
      <c r="H28" s="49">
        <f>直径材積計算!L25</f>
        <v>600.27008861044362</v>
      </c>
      <c r="I28" s="49">
        <f>直径材積計算!I25</f>
        <v>23.138394568573947</v>
      </c>
      <c r="J28" s="84">
        <f t="shared" si="0"/>
        <v>0.41851835316430375</v>
      </c>
      <c r="K28" s="84">
        <f>ROUNDDOWN(直径材積計算!X25,2)</f>
        <v>0.82</v>
      </c>
      <c r="L28" s="55">
        <f t="shared" si="1"/>
        <v>0</v>
      </c>
      <c r="M28" s="62" t="e">
        <f>VLOOKUP(E28,入力!$H$38:$I$47,2,FALSE)</f>
        <v>#N/A</v>
      </c>
      <c r="N28" s="62">
        <f t="shared" si="2"/>
        <v>0</v>
      </c>
      <c r="O28" s="49">
        <f>直径材積計算!U25</f>
        <v>0</v>
      </c>
      <c r="P28" s="55">
        <f>直径材積計算!K141</f>
        <v>2011.2017105939603</v>
      </c>
      <c r="Q28" s="204">
        <f>直径材積計算!N25</f>
        <v>1434.2742297248478</v>
      </c>
      <c r="R28" s="49">
        <f>直径材積計算!T25</f>
        <v>600.27008861044362</v>
      </c>
      <c r="S28" s="49">
        <f>直径材積計算!S25</f>
        <v>23.138394568573947</v>
      </c>
      <c r="T28" s="84">
        <f>直径材積計算!Y25</f>
        <v>0.82685364257297544</v>
      </c>
      <c r="V28" s="153">
        <v>33</v>
      </c>
    </row>
    <row r="29" spans="2:22">
      <c r="D29" s="48">
        <v>34</v>
      </c>
      <c r="E29" s="55">
        <f>IF(D29&lt;入力!$C$17,NA(),IF(D29&gt;入力!$H$48,NA(),D29))</f>
        <v>34</v>
      </c>
      <c r="F29" s="55">
        <f>IF(E29&gt;入力!$C$17,IF(Q28&gt;=P28,P29,(F28-L28)*(1-$B$27)),IF(E29=入力!$C$17,入力!$C$18,NA()))</f>
        <v>1434.2742297248478</v>
      </c>
      <c r="G29" s="49">
        <f>'樹高計算 '!N27</f>
        <v>19.963775477128916</v>
      </c>
      <c r="H29" s="49">
        <f>直径材積計算!L26</f>
        <v>623.12610548454222</v>
      </c>
      <c r="I29" s="49">
        <f>直径材積計算!I26</f>
        <v>23.350200045834679</v>
      </c>
      <c r="J29" s="84">
        <f t="shared" si="0"/>
        <v>0.43445395069538634</v>
      </c>
      <c r="K29" s="84">
        <f>ROUNDDOWN(直径材積計算!X26,2)</f>
        <v>0.83</v>
      </c>
      <c r="L29" s="55">
        <f t="shared" si="1"/>
        <v>0</v>
      </c>
      <c r="M29" s="62" t="e">
        <f>VLOOKUP(E29,入力!$H$38:$I$47,2,FALSE)</f>
        <v>#N/A</v>
      </c>
      <c r="N29" s="62">
        <f t="shared" si="2"/>
        <v>0</v>
      </c>
      <c r="O29" s="49">
        <f>直径材積計算!U26</f>
        <v>0</v>
      </c>
      <c r="P29" s="55">
        <f>直径材積計算!K142</f>
        <v>1997.6751036696705</v>
      </c>
      <c r="Q29" s="204">
        <f>直径材積計算!N26</f>
        <v>1434.2742297248478</v>
      </c>
      <c r="R29" s="49">
        <f>直径材積計算!T26</f>
        <v>623.12610548454222</v>
      </c>
      <c r="S29" s="49">
        <f>直径材積計算!S26</f>
        <v>23.350200045834679</v>
      </c>
      <c r="T29" s="84">
        <f>直径材積計算!Y26</f>
        <v>0.83563872346056745</v>
      </c>
      <c r="V29" s="153">
        <v>34</v>
      </c>
    </row>
    <row r="30" spans="2:22">
      <c r="B30" s="20" t="s">
        <v>75</v>
      </c>
      <c r="D30" s="48">
        <v>35</v>
      </c>
      <c r="E30" s="55">
        <f>IF(D30&lt;入力!$C$17,NA(),IF(D30&gt;入力!$H$48,NA(),D30))</f>
        <v>35</v>
      </c>
      <c r="F30" s="55">
        <f>IF(E30&gt;入力!$C$17,IF(Q29&gt;=P29,P30,(F29-L29)*(1-$B$27)),IF(E30=入力!$C$17,入力!$C$18,NA()))</f>
        <v>1434.2742297248478</v>
      </c>
      <c r="G30" s="49">
        <f>'樹高計算 '!N28</f>
        <v>20.358566807421841</v>
      </c>
      <c r="H30" s="49">
        <f>直径材積計算!L27</f>
        <v>645.6577675810679</v>
      </c>
      <c r="I30" s="49">
        <f>直径材積計算!I27</f>
        <v>23.551802123586025</v>
      </c>
      <c r="J30" s="84">
        <f t="shared" si="0"/>
        <v>0.45016340264645999</v>
      </c>
      <c r="K30" s="84">
        <f>ROUNDDOWN(直径材積計算!X27,2)</f>
        <v>0.84</v>
      </c>
      <c r="L30" s="55">
        <f t="shared" si="1"/>
        <v>0</v>
      </c>
      <c r="M30" s="62" t="e">
        <f>VLOOKUP(E30,入力!$H$38:$I$47,2,FALSE)</f>
        <v>#N/A</v>
      </c>
      <c r="N30" s="62">
        <f t="shared" si="2"/>
        <v>0</v>
      </c>
      <c r="O30" s="49">
        <f>直径材積計算!U27</f>
        <v>0</v>
      </c>
      <c r="P30" s="55">
        <f>直径材積計算!K143</f>
        <v>1984.5531765996327</v>
      </c>
      <c r="Q30" s="204">
        <f>直径材積計算!N27</f>
        <v>1434.2742297248478</v>
      </c>
      <c r="R30" s="49">
        <f>直径材積計算!T27</f>
        <v>645.6577675810679</v>
      </c>
      <c r="S30" s="49">
        <f>直径材積計算!S27</f>
        <v>23.551802123586025</v>
      </c>
      <c r="T30" s="84">
        <f>直径材積計算!Y27</f>
        <v>0.84397421583543009</v>
      </c>
      <c r="V30" s="153">
        <v>35</v>
      </c>
    </row>
    <row r="31" spans="2:22">
      <c r="B31" s="61">
        <f>L118</f>
        <v>3</v>
      </c>
      <c r="D31" s="48">
        <v>36</v>
      </c>
      <c r="E31" s="55">
        <f>IF(D31&lt;入力!$C$17,NA(),IF(D31&gt;入力!$H$48,NA(),D31))</f>
        <v>36</v>
      </c>
      <c r="F31" s="55">
        <f>IF(E31&gt;入力!$C$17,IF(Q30&gt;=P30,P31,(F30-L30)*(1-$B$27)),IF(E31=入力!$C$17,入力!$C$18,NA()))</f>
        <v>1434.2742297248478</v>
      </c>
      <c r="G31" s="49">
        <f>'樹高計算 '!N29</f>
        <v>20.743172413359066</v>
      </c>
      <c r="H31" s="49">
        <f>直径材積計算!L28</f>
        <v>667.85119866670391</v>
      </c>
      <c r="I31" s="49">
        <f>直径材積計算!I28</f>
        <v>23.74383056364524</v>
      </c>
      <c r="J31" s="84">
        <f t="shared" si="0"/>
        <v>0.46563703427539443</v>
      </c>
      <c r="K31" s="84">
        <f>ROUNDDOWN(直径材積計算!X28,2)</f>
        <v>0.85</v>
      </c>
      <c r="L31" s="55">
        <f t="shared" si="1"/>
        <v>0</v>
      </c>
      <c r="M31" s="62" t="e">
        <f>VLOOKUP(E31,入力!$H$38:$I$47,2,FALSE)</f>
        <v>#N/A</v>
      </c>
      <c r="N31" s="62">
        <f t="shared" si="2"/>
        <v>0</v>
      </c>
      <c r="O31" s="49">
        <f>直径材積計算!U28</f>
        <v>0</v>
      </c>
      <c r="P31" s="55">
        <f>直径材積計算!K144</f>
        <v>1971.8281271444434</v>
      </c>
      <c r="Q31" s="204">
        <f>直径材積計算!N28</f>
        <v>1434.2742297248478</v>
      </c>
      <c r="R31" s="49">
        <f>直径材積計算!T28</f>
        <v>667.85119866670391</v>
      </c>
      <c r="S31" s="49">
        <f>直径材積計算!S28</f>
        <v>23.74383056364524</v>
      </c>
      <c r="T31" s="84">
        <f>直径材積計算!Y28</f>
        <v>0.85188871112104514</v>
      </c>
      <c r="V31" s="153">
        <v>36</v>
      </c>
    </row>
    <row r="32" spans="2:22">
      <c r="B32" s="20" t="s">
        <v>76</v>
      </c>
      <c r="D32" s="48">
        <v>37</v>
      </c>
      <c r="E32" s="55">
        <f>IF(D32&lt;入力!$C$17,NA(),IF(D32&gt;入力!$H$48,NA(),D32))</f>
        <v>37</v>
      </c>
      <c r="F32" s="55">
        <f>IF(E32&gt;入力!$C$17,IF(Q31&gt;=P31,P32,(F31-L31)*(1-$B$27)),IF(E32=入力!$C$17,入力!$C$18,NA()))</f>
        <v>1434.2742297248478</v>
      </c>
      <c r="G32" s="49">
        <f>'樹高計算 '!N30</f>
        <v>21.117800158034136</v>
      </c>
      <c r="H32" s="49">
        <f>直径材積計算!L29</f>
        <v>689.69472876539942</v>
      </c>
      <c r="I32" s="49">
        <f>直径材積計算!I29</f>
        <v>23.926867107614676</v>
      </c>
      <c r="J32" s="84">
        <f t="shared" si="0"/>
        <v>0.48086670907955376</v>
      </c>
      <c r="K32" s="84">
        <f>ROUNDDOWN(直径材積計算!X29,2)</f>
        <v>0.85</v>
      </c>
      <c r="L32" s="55">
        <f t="shared" si="1"/>
        <v>0</v>
      </c>
      <c r="M32" s="62" t="e">
        <f>VLOOKUP(E32,入力!$H$38:$I$47,2,FALSE)</f>
        <v>#N/A</v>
      </c>
      <c r="N32" s="62">
        <f t="shared" si="2"/>
        <v>0</v>
      </c>
      <c r="O32" s="49">
        <f>直径材積計算!U29</f>
        <v>0</v>
      </c>
      <c r="P32" s="55">
        <f>直径材積計算!K145</f>
        <v>1959.4915093649884</v>
      </c>
      <c r="Q32" s="204">
        <f>直径材積計算!N29</f>
        <v>1434.2742297248478</v>
      </c>
      <c r="R32" s="49">
        <f>直径材積計算!T29</f>
        <v>689.69472876539942</v>
      </c>
      <c r="S32" s="49">
        <f>直径材積計算!S29</f>
        <v>23.926867107614676</v>
      </c>
      <c r="T32" s="84">
        <f>直径材積計算!Y29</f>
        <v>0.859408674788676</v>
      </c>
      <c r="V32" s="153">
        <v>37</v>
      </c>
    </row>
    <row r="33" spans="2:23">
      <c r="D33" s="48">
        <v>38</v>
      </c>
      <c r="E33" s="55">
        <f>IF(D33&lt;入力!$C$17,NA(),IF(D33&gt;入力!$H$48,NA(),D33))</f>
        <v>38</v>
      </c>
      <c r="F33" s="55">
        <f>IF(E33&gt;入力!$C$17,IF(Q32&gt;=P32,P33,(F32-L32)*(1-$B$27)),IF(E33=入力!$C$17,入力!$C$18,NA()))</f>
        <v>1434.2742297248478</v>
      </c>
      <c r="G33" s="49">
        <f>'樹高計算 '!N31</f>
        <v>21.482660040158859</v>
      </c>
      <c r="H33" s="49">
        <f>直径材積計算!L30</f>
        <v>711.17869805283431</v>
      </c>
      <c r="I33" s="49">
        <f>直径材積計算!I30</f>
        <v>24.101449880652151</v>
      </c>
      <c r="J33" s="84">
        <f t="shared" si="0"/>
        <v>0.49584569206773471</v>
      </c>
      <c r="K33" s="84">
        <f>ROUNDDOWN(直径材積計算!X30,2)</f>
        <v>0.86</v>
      </c>
      <c r="L33" s="55">
        <f t="shared" si="1"/>
        <v>0</v>
      </c>
      <c r="M33" s="62" t="e">
        <f>VLOOKUP(E33,入力!$H$38:$I$47,2,FALSE)</f>
        <v>#N/A</v>
      </c>
      <c r="N33" s="62">
        <f t="shared" si="2"/>
        <v>0</v>
      </c>
      <c r="O33" s="49">
        <f>直径材積計算!U30</f>
        <v>0</v>
      </c>
      <c r="P33" s="55">
        <f>直径材積計算!K146</f>
        <v>1947.5343793337991</v>
      </c>
      <c r="Q33" s="204">
        <f>直径材積計算!N30</f>
        <v>1434.2742297248478</v>
      </c>
      <c r="R33" s="49">
        <f>直径材積計算!T30</f>
        <v>711.17869805283431</v>
      </c>
      <c r="S33" s="49">
        <f>直径材積計算!S30</f>
        <v>24.101449880652151</v>
      </c>
      <c r="T33" s="84">
        <f>直径材積計算!Y30</f>
        <v>0.86655862166436115</v>
      </c>
      <c r="V33" s="153">
        <v>38</v>
      </c>
    </row>
    <row r="34" spans="2:23">
      <c r="B34" s="20" t="s">
        <v>111</v>
      </c>
      <c r="D34" s="48">
        <v>39</v>
      </c>
      <c r="E34" s="55">
        <f>IF(D34&lt;入力!$C$17,NA(),IF(D34&gt;入力!$H$48,NA(),D34))</f>
        <v>39</v>
      </c>
      <c r="F34" s="55">
        <f>IF(E34&gt;入力!$C$17,IF(Q33&gt;=P33,P34,(F33-L33)*(1-$B$27)),IF(E34=入力!$C$17,入力!$C$18,NA()))</f>
        <v>1434.2742297248478</v>
      </c>
      <c r="G34" s="49">
        <f>'樹高計算 '!N32</f>
        <v>21.837963543650535</v>
      </c>
      <c r="H34" s="49">
        <f>直径材積計算!L31</f>
        <v>732.29527417920644</v>
      </c>
      <c r="I34" s="49">
        <f>直径材積計算!I31</f>
        <v>24.268077314147764</v>
      </c>
      <c r="J34" s="84">
        <f t="shared" si="0"/>
        <v>0.51056852239455663</v>
      </c>
      <c r="K34" s="84">
        <f>ROUNDDOWN(直径材積計算!X31,2)</f>
        <v>0.87</v>
      </c>
      <c r="L34" s="55">
        <f t="shared" si="1"/>
        <v>0</v>
      </c>
      <c r="M34" s="62" t="e">
        <f>VLOOKUP(E34,入力!$H$38:$I$47,2,FALSE)</f>
        <v>#N/A</v>
      </c>
      <c r="N34" s="62">
        <f t="shared" si="2"/>
        <v>0</v>
      </c>
      <c r="O34" s="49">
        <f>直径材積計算!U31</f>
        <v>0</v>
      </c>
      <c r="P34" s="55">
        <f>直径材積計算!K147</f>
        <v>1935.9474204362002</v>
      </c>
      <c r="Q34" s="204">
        <f>直径材積計算!N31</f>
        <v>1434.2742297248478</v>
      </c>
      <c r="R34" s="49">
        <f>直径材積計算!T31</f>
        <v>732.29527417920644</v>
      </c>
      <c r="S34" s="49">
        <f>直径材積計算!S31</f>
        <v>24.268077314147764</v>
      </c>
      <c r="T34" s="84">
        <f>直径材積計算!Y31</f>
        <v>0.87336127587882117</v>
      </c>
      <c r="V34" s="153">
        <v>39</v>
      </c>
      <c r="W34" s="151"/>
    </row>
    <row r="35" spans="2:23">
      <c r="B35" s="61"/>
      <c r="D35" s="48">
        <v>40</v>
      </c>
      <c r="E35" s="55">
        <f>IF(D35&lt;入力!$C$17,NA(),IF(D35&gt;入力!$H$48,NA(),D35))</f>
        <v>40</v>
      </c>
      <c r="F35" s="55">
        <f>IF(E35&gt;入力!$C$17,IF(Q34&gt;=P34,P35,(F34-L34)*(1-$B$27)),IF(E35=入力!$C$17,入力!$C$18,NA()))</f>
        <v>1434.2742297248478</v>
      </c>
      <c r="G35" s="49">
        <f>'樹高計算 '!N33</f>
        <v>22.183923011010634</v>
      </c>
      <c r="H35" s="49">
        <f>直径材積計算!L32</f>
        <v>753.03828223992923</v>
      </c>
      <c r="I35" s="49">
        <f>直径材積計算!I32</f>
        <v>24.427211647899032</v>
      </c>
      <c r="J35" s="84">
        <f t="shared" si="0"/>
        <v>0.52503089481318554</v>
      </c>
      <c r="K35" s="84">
        <f>ROUNDDOWN(直径材積計算!X32,2)</f>
        <v>0.87</v>
      </c>
      <c r="L35" s="55">
        <f t="shared" si="1"/>
        <v>290</v>
      </c>
      <c r="M35" s="62">
        <f>VLOOKUP(E35,入力!$H$38:$I$47,2,FALSE)</f>
        <v>0.2</v>
      </c>
      <c r="N35" s="62">
        <f t="shared" si="2"/>
        <v>0.2</v>
      </c>
      <c r="O35" s="49">
        <f>直径材積計算!U32</f>
        <v>60.791051395638647</v>
      </c>
      <c r="P35" s="55">
        <f>直径材積計算!K148</f>
        <v>1924.7210509017389</v>
      </c>
      <c r="Q35" s="204">
        <f>直径材積計算!N32</f>
        <v>1144.2742297248478</v>
      </c>
      <c r="R35" s="49">
        <f>直径材積計算!T32</f>
        <v>692.24723084429058</v>
      </c>
      <c r="S35" s="49">
        <f>直径材積計算!S32</f>
        <v>26.671856385794619</v>
      </c>
      <c r="T35" s="84">
        <f>直径材積計算!Y32</f>
        <v>0.80881043816601161</v>
      </c>
      <c r="V35" s="153">
        <v>40</v>
      </c>
    </row>
    <row r="36" spans="2:23">
      <c r="D36" s="48">
        <v>41</v>
      </c>
      <c r="E36" s="55">
        <f>IF(D36&lt;入力!$C$17,NA(),IF(D36&gt;入力!$H$48,NA(),D36))</f>
        <v>41</v>
      </c>
      <c r="F36" s="55">
        <f>IF(E36&gt;入力!$C$17,IF(Q35&gt;=P35,P36,(F35-L35)*(1-$B$27)),IF(E36=入力!$C$17,入力!$C$18,NA()))</f>
        <v>1144.2742297248478</v>
      </c>
      <c r="G36" s="49">
        <f>'樹高計算 '!N34</f>
        <v>22.520751045788124</v>
      </c>
      <c r="H36" s="49">
        <f>直径材積計算!L33</f>
        <v>711.72785869968254</v>
      </c>
      <c r="I36" s="49">
        <f>直径材積計算!I33</f>
        <v>26.854196241330715</v>
      </c>
      <c r="J36" s="84">
        <f t="shared" si="0"/>
        <v>0.6219906384423467</v>
      </c>
      <c r="K36" s="84">
        <f>ROUNDDOWN(直径材積計算!X33,2)</f>
        <v>0.81</v>
      </c>
      <c r="L36" s="55">
        <f t="shared" si="1"/>
        <v>0</v>
      </c>
      <c r="M36" s="62" t="e">
        <f>VLOOKUP(E36,入力!$H$38:$I$47,2,FALSE)</f>
        <v>#N/A</v>
      </c>
      <c r="N36" s="62">
        <f t="shared" si="2"/>
        <v>0</v>
      </c>
      <c r="O36" s="49">
        <f>直径材積計算!U33</f>
        <v>0</v>
      </c>
      <c r="P36" s="55">
        <f>直径材積計算!K149</f>
        <v>1913.8455158331576</v>
      </c>
      <c r="Q36" s="204">
        <f>直径材積計算!N33</f>
        <v>1144.2742297248478</v>
      </c>
      <c r="R36" s="49">
        <f>直径材積計算!T33</f>
        <v>711.72785869968254</v>
      </c>
      <c r="S36" s="49">
        <f>直径材積計算!S33</f>
        <v>26.854196241330715</v>
      </c>
      <c r="T36" s="84">
        <f>直径材積計算!Y33</f>
        <v>0.81535265716867455</v>
      </c>
      <c r="V36" s="153">
        <v>41</v>
      </c>
    </row>
    <row r="37" spans="2:23">
      <c r="D37" s="48">
        <v>42</v>
      </c>
      <c r="E37" s="55">
        <f>IF(D37&lt;入力!$C$17,NA(),IF(D37&gt;入力!$H$48,NA(),D37))</f>
        <v>42</v>
      </c>
      <c r="F37" s="55">
        <f>IF(E37&gt;入力!$C$17,IF(Q36&gt;=P36,P37,(F36-L36)*(1-$B$27)),IF(E37=入力!$C$17,入力!$C$18,NA()))</f>
        <v>1144.2742297248478</v>
      </c>
      <c r="G37" s="49">
        <f>'樹高計算 '!N35</f>
        <v>22.848659948719757</v>
      </c>
      <c r="H37" s="49">
        <f>直径材積計算!L34</f>
        <v>730.86209724929176</v>
      </c>
      <c r="I37" s="49">
        <f>直径材積計算!I34</f>
        <v>27.028735675627612</v>
      </c>
      <c r="J37" s="84">
        <f t="shared" si="0"/>
        <v>0.6387123630539463</v>
      </c>
      <c r="K37" s="84">
        <f>ROUNDDOWN(直径材積計算!X34,2)</f>
        <v>0.82</v>
      </c>
      <c r="L37" s="55">
        <f t="shared" si="1"/>
        <v>0</v>
      </c>
      <c r="M37" s="62" t="e">
        <f>VLOOKUP(E37,入力!$H$38:$I$47,2,FALSE)</f>
        <v>#N/A</v>
      </c>
      <c r="N37" s="62">
        <f t="shared" si="2"/>
        <v>0</v>
      </c>
      <c r="O37" s="49">
        <f>直径材積計算!U34</f>
        <v>0</v>
      </c>
      <c r="P37" s="55">
        <f>直径材積計算!K150</f>
        <v>1903.3109656898844</v>
      </c>
      <c r="Q37" s="204">
        <f>直径材積計算!N34</f>
        <v>1144.2742297248478</v>
      </c>
      <c r="R37" s="49">
        <f>直径材積計算!T34</f>
        <v>730.86209724929176</v>
      </c>
      <c r="S37" s="49">
        <f>直径材積計算!S34</f>
        <v>27.028735675627612</v>
      </c>
      <c r="T37" s="84">
        <f>直径材積計算!Y34</f>
        <v>0.82160202703372609</v>
      </c>
      <c r="V37" s="153">
        <v>42</v>
      </c>
    </row>
    <row r="38" spans="2:23">
      <c r="D38" s="48">
        <v>43</v>
      </c>
      <c r="E38" s="55">
        <f>IF(D38&lt;入力!$C$17,NA(),IF(D38&gt;入力!$H$48,NA(),D38))</f>
        <v>43</v>
      </c>
      <c r="F38" s="55">
        <f>IF(E38&gt;入力!$C$17,IF(Q37&gt;=P37,P38,(F37-L37)*(1-$B$27)),IF(E38=入力!$C$17,入力!$C$18,NA()))</f>
        <v>1144.2742297248478</v>
      </c>
      <c r="G38" s="49">
        <f>'樹高計算 '!N36</f>
        <v>23.167861191282384</v>
      </c>
      <c r="H38" s="49">
        <f>直径材積計算!L35</f>
        <v>749.6462682297913</v>
      </c>
      <c r="I38" s="49">
        <f>直径材積計算!I35</f>
        <v>27.195894691971205</v>
      </c>
      <c r="J38" s="84">
        <f t="shared" si="0"/>
        <v>0.6551281578805207</v>
      </c>
      <c r="K38" s="84">
        <f>ROUNDDOWN(直径材積計算!X35,2)</f>
        <v>0.82</v>
      </c>
      <c r="L38" s="55">
        <f t="shared" si="1"/>
        <v>0</v>
      </c>
      <c r="M38" s="62" t="e">
        <f>VLOOKUP(E38,入力!$H$38:$I$47,2,FALSE)</f>
        <v>#N/A</v>
      </c>
      <c r="N38" s="62">
        <f t="shared" si="2"/>
        <v>0</v>
      </c>
      <c r="O38" s="49">
        <f>直径材積計算!U35</f>
        <v>0</v>
      </c>
      <c r="P38" s="55">
        <f>直径材積計算!K151</f>
        <v>1893.1075229241142</v>
      </c>
      <c r="Q38" s="204">
        <f>直径材積計算!N35</f>
        <v>1144.2742297248478</v>
      </c>
      <c r="R38" s="49">
        <f>直径材積計算!T35</f>
        <v>749.6462682297913</v>
      </c>
      <c r="S38" s="49">
        <f>直径材積計算!S35</f>
        <v>27.195894691971205</v>
      </c>
      <c r="T38" s="84">
        <f>直径材積計算!Y35</f>
        <v>0.82757472049494829</v>
      </c>
      <c r="V38" s="153">
        <v>43</v>
      </c>
    </row>
    <row r="39" spans="2:23">
      <c r="D39" s="48">
        <v>44</v>
      </c>
      <c r="E39" s="55">
        <f>IF(D39&lt;入力!$C$17,NA(),IF(D39&gt;入力!$H$48,NA(),D39))</f>
        <v>44</v>
      </c>
      <c r="F39" s="55">
        <f>IF(E39&gt;入力!$C$17,IF(Q38&gt;=P38,P39,(F38-L38)*(1-$B$27)),IF(E39=入力!$C$17,入力!$C$18,NA()))</f>
        <v>1144.2742297248478</v>
      </c>
      <c r="G39" s="49">
        <f>'樹高計算 '!N37</f>
        <v>23.478564929459516</v>
      </c>
      <c r="H39" s="49">
        <f>直径材積計算!L36</f>
        <v>768.0778502353603</v>
      </c>
      <c r="I39" s="49">
        <f>直径材積計算!I36</f>
        <v>27.356065738259741</v>
      </c>
      <c r="J39" s="84">
        <f t="shared" si="0"/>
        <v>0.67123581942420596</v>
      </c>
      <c r="K39" s="84">
        <f>ROUNDDOWN(直径材積計算!X36,2)</f>
        <v>0.83</v>
      </c>
      <c r="L39" s="55">
        <f t="shared" ref="L39:L70" si="3">ROUNDUP(F39*N39,-1)</f>
        <v>0</v>
      </c>
      <c r="M39" s="62" t="e">
        <f>VLOOKUP(E39,入力!$H$38:$I$47,2,FALSE)</f>
        <v>#N/A</v>
      </c>
      <c r="N39" s="62">
        <f t="shared" si="2"/>
        <v>0</v>
      </c>
      <c r="O39" s="49">
        <f>直径材積計算!U36</f>
        <v>0</v>
      </c>
      <c r="P39" s="55">
        <f>直径材積計算!K152</f>
        <v>1883.2253382503186</v>
      </c>
      <c r="Q39" s="204">
        <f>直径材積計算!N36</f>
        <v>1144.2742297248478</v>
      </c>
      <c r="R39" s="49">
        <f>直径材積計算!T36</f>
        <v>768.0778502353603</v>
      </c>
      <c r="S39" s="49">
        <f>直径材積計算!S36</f>
        <v>27.356065738259741</v>
      </c>
      <c r="T39" s="84">
        <f>直径材積計算!Y36</f>
        <v>0.83328586681337224</v>
      </c>
      <c r="V39" s="153">
        <v>44</v>
      </c>
    </row>
    <row r="40" spans="2:23">
      <c r="D40" s="48">
        <v>45</v>
      </c>
      <c r="E40" s="55">
        <f>IF(D40&lt;入力!$C$17,NA(),IF(D40&gt;入力!$H$48,NA(),D40))</f>
        <v>45</v>
      </c>
      <c r="F40" s="55">
        <f>IF(E40&gt;入力!$C$17,IF(Q39&gt;=P39,P40,(F39-L39)*(1-$B$27)),IF(E40=入力!$C$17,入力!$C$18,NA()))</f>
        <v>1144.2742297248478</v>
      </c>
      <c r="G40" s="49">
        <f>'樹高計算 '!N38</f>
        <v>23.780979559582203</v>
      </c>
      <c r="H40" s="49">
        <f>直径材積計算!L37</f>
        <v>786.15536229490056</v>
      </c>
      <c r="I40" s="49">
        <f>直径材積計算!I37</f>
        <v>27.509615816911396</v>
      </c>
      <c r="J40" s="84">
        <f t="shared" si="0"/>
        <v>0.68703405344009139</v>
      </c>
      <c r="K40" s="84">
        <f>ROUNDDOWN(直径材積計算!X37,2)</f>
        <v>0.83</v>
      </c>
      <c r="L40" s="55">
        <f t="shared" si="3"/>
        <v>0</v>
      </c>
      <c r="M40" s="62" t="e">
        <f>VLOOKUP(E40,入力!$H$38:$I$47,2,FALSE)</f>
        <v>#N/A</v>
      </c>
      <c r="N40" s="62">
        <f t="shared" si="2"/>
        <v>0</v>
      </c>
      <c r="O40" s="49">
        <f>直径材積計算!U37</f>
        <v>0</v>
      </c>
      <c r="P40" s="55">
        <f>直径材積計算!K153</f>
        <v>1873.6546378454477</v>
      </c>
      <c r="Q40" s="204">
        <f>直径材積計算!N37</f>
        <v>1144.2742297248478</v>
      </c>
      <c r="R40" s="49">
        <f>直径材積計算!T37</f>
        <v>786.15536229490056</v>
      </c>
      <c r="S40" s="49">
        <f>直径材積計算!S37</f>
        <v>27.509615816911396</v>
      </c>
      <c r="T40" s="84">
        <f>直径材積計算!Y37</f>
        <v>0.83874962512431217</v>
      </c>
      <c r="V40" s="153">
        <v>45</v>
      </c>
    </row>
    <row r="41" spans="2:23">
      <c r="D41" s="48">
        <v>46</v>
      </c>
      <c r="E41" s="55">
        <f>IF(D41&lt;入力!$C$17,NA(),IF(D41&gt;入力!$H$48,NA(),D41))</f>
        <v>46</v>
      </c>
      <c r="F41" s="55">
        <f>IF(E41&gt;入力!$C$17,IF(Q40&gt;=P40,P41,(F40-L40)*(1-$B$27)),IF(E41=入力!$C$17,入力!$C$18,NA()))</f>
        <v>1144.2742297248478</v>
      </c>
      <c r="G41" s="49">
        <f>'樹高計算 '!N39</f>
        <v>24.075311317201503</v>
      </c>
      <c r="H41" s="49">
        <f>直径材積計算!L38</f>
        <v>803.87825623091862</v>
      </c>
      <c r="I41" s="49">
        <f>直径材積計算!I38</f>
        <v>27.656888406806015</v>
      </c>
      <c r="J41" s="84">
        <f t="shared" si="0"/>
        <v>0.7025223808668829</v>
      </c>
      <c r="K41" s="84">
        <f>ROUNDDOWN(直径材積計算!X38,2)</f>
        <v>0.84</v>
      </c>
      <c r="L41" s="55">
        <f t="shared" si="3"/>
        <v>0</v>
      </c>
      <c r="M41" s="62" t="e">
        <f>VLOOKUP(E41,入力!$H$38:$I$47,2,FALSE)</f>
        <v>#N/A</v>
      </c>
      <c r="N41" s="62">
        <f t="shared" si="2"/>
        <v>0</v>
      </c>
      <c r="O41" s="49">
        <f>直径材積計算!U38</f>
        <v>0</v>
      </c>
      <c r="P41" s="55">
        <f>直径材積計算!K154</f>
        <v>1864.3857626207534</v>
      </c>
      <c r="Q41" s="204">
        <f>直径材積計算!N38</f>
        <v>1144.2742297248478</v>
      </c>
      <c r="R41" s="49">
        <f>直径材積計算!T38</f>
        <v>803.87825623091862</v>
      </c>
      <c r="S41" s="49">
        <f>直径材積計算!S38</f>
        <v>27.656888406806015</v>
      </c>
      <c r="T41" s="84">
        <f>直径材積計算!Y38</f>
        <v>0.84397925246181837</v>
      </c>
      <c r="V41" s="153">
        <v>46</v>
      </c>
    </row>
    <row r="42" spans="2:23">
      <c r="D42" s="48">
        <v>47</v>
      </c>
      <c r="E42" s="55">
        <f>IF(D42&lt;入力!$C$17,NA(),IF(D42&gt;入力!$H$48,NA(),D42))</f>
        <v>47</v>
      </c>
      <c r="F42" s="55">
        <f>IF(E42&gt;入力!$C$17,IF(Q41&gt;=P41,P42,(F41-L41)*(1-$B$27)),IF(E42=入力!$C$17,入力!$C$18,NA()))</f>
        <v>1144.2742297248478</v>
      </c>
      <c r="G42" s="49">
        <f>'樹高計算 '!N40</f>
        <v>24.361763919122062</v>
      </c>
      <c r="H42" s="49">
        <f>直径材積計算!L39</f>
        <v>821.24681741305517</v>
      </c>
      <c r="I42" s="49">
        <f>直径材積計算!I39</f>
        <v>27.798205217339628</v>
      </c>
      <c r="J42" s="84">
        <f t="shared" si="0"/>
        <v>0.71770105109378557</v>
      </c>
      <c r="K42" s="84">
        <f>ROUNDDOWN(直径材積計算!X39,2)</f>
        <v>0.84</v>
      </c>
      <c r="L42" s="55">
        <f t="shared" si="3"/>
        <v>0</v>
      </c>
      <c r="M42" s="62" t="e">
        <f>VLOOKUP(E42,入力!$H$38:$I$47,2,FALSE)</f>
        <v>#N/A</v>
      </c>
      <c r="N42" s="62">
        <f t="shared" si="2"/>
        <v>0</v>
      </c>
      <c r="O42" s="49">
        <f>直径材積計算!U39</f>
        <v>0</v>
      </c>
      <c r="P42" s="55">
        <f>直径材積計算!K155</f>
        <v>1855.4092005717732</v>
      </c>
      <c r="Q42" s="204">
        <f>直径材積計算!N39</f>
        <v>1144.2742297248478</v>
      </c>
      <c r="R42" s="49">
        <f>直径材積計算!T39</f>
        <v>821.24681741305517</v>
      </c>
      <c r="S42" s="49">
        <f>直径材積計算!S39</f>
        <v>27.798205217339628</v>
      </c>
      <c r="T42" s="84">
        <f>直径材積計算!Y39</f>
        <v>0.84898716684224174</v>
      </c>
      <c r="V42" s="153">
        <v>47</v>
      </c>
    </row>
    <row r="43" spans="2:23">
      <c r="D43" s="48">
        <v>48</v>
      </c>
      <c r="E43" s="55">
        <f>IF(D43&lt;入力!$C$17,NA(),IF(D43&gt;入力!$H$48,NA(),D43))</f>
        <v>48</v>
      </c>
      <c r="F43" s="55">
        <f>IF(E43&gt;入力!$C$17,IF(Q42&gt;=P42,P43,(F42-L42)*(1-$B$27)),IF(E43=入力!$C$17,入力!$C$18,NA()))</f>
        <v>1144.2742297248478</v>
      </c>
      <c r="G43" s="49">
        <f>'樹高計算 '!N41</f>
        <v>24.64053824799684</v>
      </c>
      <c r="H43" s="49">
        <f>直径材積計算!L40</f>
        <v>838.26207350237883</v>
      </c>
      <c r="I43" s="49">
        <f>直径材積計算!I40</f>
        <v>27.933867792113471</v>
      </c>
      <c r="J43" s="84">
        <f t="shared" si="0"/>
        <v>0.7325709622106471</v>
      </c>
      <c r="K43" s="84">
        <f>ROUNDDOWN(直径材積計算!X40,2)</f>
        <v>0.85</v>
      </c>
      <c r="L43" s="55">
        <f t="shared" si="3"/>
        <v>0</v>
      </c>
      <c r="M43" s="62" t="e">
        <f>VLOOKUP(E43,入力!$H$38:$I$47,2,FALSE)</f>
        <v>#N/A</v>
      </c>
      <c r="N43" s="62">
        <f t="shared" si="2"/>
        <v>0</v>
      </c>
      <c r="O43" s="49">
        <f>直径材積計算!U40</f>
        <v>0</v>
      </c>
      <c r="P43" s="55">
        <f>直径材積計算!K156</f>
        <v>1846.7156130965525</v>
      </c>
      <c r="Q43" s="204">
        <f>直径材積計算!N40</f>
        <v>1144.2742297248478</v>
      </c>
      <c r="R43" s="49">
        <f>直径材積計算!T40</f>
        <v>838.26207350237883</v>
      </c>
      <c r="S43" s="49">
        <f>直径材積計算!S40</f>
        <v>27.933867792113471</v>
      </c>
      <c r="T43" s="84">
        <f>直径材積計算!Y40</f>
        <v>0.85378500576525107</v>
      </c>
      <c r="V43" s="153">
        <v>48</v>
      </c>
    </row>
    <row r="44" spans="2:23">
      <c r="D44" s="48">
        <v>49</v>
      </c>
      <c r="E44" s="55">
        <f>IF(D44&lt;入力!$C$17,NA(),IF(D44&gt;入力!$H$48,NA(),D44))</f>
        <v>49</v>
      </c>
      <c r="F44" s="55">
        <f>IF(E44&gt;入力!$C$17,IF(Q43&gt;=P43,P44,(F43-L43)*(1-$B$27)),IF(E44=入力!$C$17,入力!$C$18,NA()))</f>
        <v>1144.2742297248478</v>
      </c>
      <c r="G44" s="49">
        <f>'樹高計算 '!N42</f>
        <v>24.911832078263824</v>
      </c>
      <c r="H44" s="49">
        <f>直径材積計算!L41</f>
        <v>854.92571076889703</v>
      </c>
      <c r="I44" s="49">
        <f>直径材積計算!I41</f>
        <v>28.064158977577119</v>
      </c>
      <c r="J44" s="84">
        <f t="shared" si="0"/>
        <v>0.747133587876459</v>
      </c>
      <c r="K44" s="84">
        <f>ROUNDDOWN(直径材積計算!X41,2)</f>
        <v>0.85</v>
      </c>
      <c r="L44" s="55">
        <f t="shared" si="3"/>
        <v>0</v>
      </c>
      <c r="M44" s="62" t="e">
        <f>VLOOKUP(E44,入力!$H$38:$I$47,2,FALSE)</f>
        <v>#N/A</v>
      </c>
      <c r="N44" s="62">
        <f t="shared" si="2"/>
        <v>0</v>
      </c>
      <c r="O44" s="49">
        <f>直径材積計算!U41</f>
        <v>0</v>
      </c>
      <c r="P44" s="55">
        <f>直径材積計算!K157</f>
        <v>1838.2958560703667</v>
      </c>
      <c r="Q44" s="204">
        <f>直径材積計算!N41</f>
        <v>1144.2742297248478</v>
      </c>
      <c r="R44" s="49">
        <f>直径材積計算!T41</f>
        <v>854.92571076889703</v>
      </c>
      <c r="S44" s="49">
        <f>直径材積計算!S41</f>
        <v>28.064158977577119</v>
      </c>
      <c r="T44" s="84">
        <f>直径材積計算!Y41</f>
        <v>0.85838368046682711</v>
      </c>
      <c r="V44" s="153">
        <v>49</v>
      </c>
    </row>
    <row r="45" spans="2:23">
      <c r="D45" s="48">
        <v>50</v>
      </c>
      <c r="E45" s="55">
        <f>IF(D45&lt;入力!$C$17,NA(),IF(D45&gt;入力!$H$48,NA(),D45))</f>
        <v>50</v>
      </c>
      <c r="F45" s="55">
        <f>IF(E45&gt;入力!$C$17,IF(Q44&gt;=P44,P45,(F44-L44)*(1-$B$27)),IF(E45=入力!$C$17,入力!$C$18,NA()))</f>
        <v>1144.2742297248478</v>
      </c>
      <c r="G45" s="49">
        <f>'樹高計算 '!N43</f>
        <v>25.175839841701567</v>
      </c>
      <c r="H45" s="49">
        <f>直径材積計算!L42</f>
        <v>871.23999755514399</v>
      </c>
      <c r="I45" s="49">
        <f>直径材積計算!I42</f>
        <v>28.189344270051308</v>
      </c>
      <c r="J45" s="84">
        <f t="shared" si="0"/>
        <v>0.76139091043293206</v>
      </c>
      <c r="K45" s="84">
        <f>ROUNDDOWN(直径材積計算!X42,2)</f>
        <v>0.86</v>
      </c>
      <c r="L45" s="55">
        <f t="shared" si="3"/>
        <v>0</v>
      </c>
      <c r="M45" s="62" t="e">
        <f>VLOOKUP(E45,入力!$H$38:$I$47,2,FALSE)</f>
        <v>#N/A</v>
      </c>
      <c r="N45" s="62">
        <f t="shared" si="2"/>
        <v>0</v>
      </c>
      <c r="O45" s="49">
        <f>直径材積計算!U42</f>
        <v>0</v>
      </c>
      <c r="P45" s="55">
        <f>直径材積計算!K158</f>
        <v>1830.1409963754991</v>
      </c>
      <c r="Q45" s="204">
        <f>直径材積計算!N42</f>
        <v>1144.2742297248478</v>
      </c>
      <c r="R45" s="49">
        <f>直径材積計算!T42</f>
        <v>871.23999755514399</v>
      </c>
      <c r="S45" s="49">
        <f>直径材積計算!S42</f>
        <v>28.189344270051308</v>
      </c>
      <c r="T45" s="84">
        <f>直径材積計算!Y42</f>
        <v>0.86279342623531075</v>
      </c>
      <c r="V45" s="153">
        <v>50</v>
      </c>
    </row>
    <row r="46" spans="2:23">
      <c r="D46" s="48">
        <v>51</v>
      </c>
      <c r="E46" s="55">
        <f>IF(D46&lt;入力!$C$17,NA(),IF(D46&gt;入力!$H$48,NA(),D46))</f>
        <v>51</v>
      </c>
      <c r="F46" s="55">
        <f>IF(E46&gt;入力!$C$17,IF(Q45&gt;=P45,P46,(F45-L45)*(1-$B$27)),IF(E46=入力!$C$17,入力!$C$18,NA()))</f>
        <v>1144.2742297248478</v>
      </c>
      <c r="G46" s="49">
        <f>'樹高計算 '!N44</f>
        <v>25.432752430488847</v>
      </c>
      <c r="H46" s="49">
        <f>直径材積計算!L43</f>
        <v>887.20771445367052</v>
      </c>
      <c r="I46" s="49">
        <f>直径材積計算!I43</f>
        <v>28.309673052928513</v>
      </c>
      <c r="J46" s="84">
        <f t="shared" si="0"/>
        <v>0.77534535988546072</v>
      </c>
      <c r="K46" s="84">
        <f>ROUNDDOWN(直径材積計算!X43,2)</f>
        <v>0.86</v>
      </c>
      <c r="L46" s="55">
        <f t="shared" si="3"/>
        <v>0</v>
      </c>
      <c r="M46" s="62" t="e">
        <f>VLOOKUP(E46,入力!$H$38:$I$47,2,FALSE)</f>
        <v>#N/A</v>
      </c>
      <c r="N46" s="62">
        <f t="shared" si="2"/>
        <v>0</v>
      </c>
      <c r="O46" s="49">
        <f>直径材積計算!U43</f>
        <v>0</v>
      </c>
      <c r="P46" s="55">
        <f>直径材積計算!K159</f>
        <v>1822.2423245051439</v>
      </c>
      <c r="Q46" s="204">
        <f>直径材積計算!N43</f>
        <v>1144.2742297248478</v>
      </c>
      <c r="R46" s="49">
        <f>直径材積計算!T43</f>
        <v>887.20771445367052</v>
      </c>
      <c r="S46" s="49">
        <f>直径材積計算!S43</f>
        <v>28.309673052928513</v>
      </c>
      <c r="T46" s="84">
        <f>直径材積計算!Y43</f>
        <v>0.86702384907914753</v>
      </c>
      <c r="V46" s="153">
        <v>51</v>
      </c>
    </row>
    <row r="47" spans="2:23">
      <c r="D47" s="48">
        <v>52</v>
      </c>
      <c r="E47" s="55">
        <f>IF(D47&lt;入力!$C$17,NA(),IF(D47&gt;入力!$H$48,NA(),D47))</f>
        <v>52</v>
      </c>
      <c r="F47" s="55">
        <f>IF(E47&gt;入力!$C$17,IF(Q46&gt;=P46,P47,(F46-L46)*(1-$B$27)),IF(E47=入力!$C$17,入力!$C$18,NA()))</f>
        <v>1144.2742297248478</v>
      </c>
      <c r="G47" s="49">
        <f>'樹高計算 '!N45</f>
        <v>25.682757035368347</v>
      </c>
      <c r="H47" s="49">
        <f>直径材積計算!L44</f>
        <v>902.832090765825</v>
      </c>
      <c r="I47" s="49">
        <f>直径材積計算!I44</f>
        <v>28.425379734450601</v>
      </c>
      <c r="J47" s="84">
        <f t="shared" si="0"/>
        <v>0.78899975837341019</v>
      </c>
      <c r="K47" s="84">
        <f>ROUNDDOWN(直径材積計算!X44,2)</f>
        <v>0.87</v>
      </c>
      <c r="L47" s="55">
        <f t="shared" si="3"/>
        <v>0</v>
      </c>
      <c r="M47" s="62" t="e">
        <f>VLOOKUP(E47,入力!$H$38:$I$47,2,FALSE)</f>
        <v>#N/A</v>
      </c>
      <c r="N47" s="62">
        <f t="shared" si="2"/>
        <v>0</v>
      </c>
      <c r="O47" s="49">
        <f>直径材積計算!U44</f>
        <v>0</v>
      </c>
      <c r="P47" s="55">
        <f>直径材積計算!K160</f>
        <v>1814.5913637896699</v>
      </c>
      <c r="Q47" s="204">
        <f>直径材積計算!N44</f>
        <v>1144.2742297248478</v>
      </c>
      <c r="R47" s="49">
        <f>直径材積計算!T44</f>
        <v>902.832090765825</v>
      </c>
      <c r="S47" s="49">
        <f>直径材積計算!S44</f>
        <v>28.425379734450601</v>
      </c>
      <c r="T47" s="84">
        <f>直径材積計算!Y44</f>
        <v>0.87108396901378649</v>
      </c>
      <c r="V47" s="153">
        <v>52</v>
      </c>
    </row>
    <row r="48" spans="2:23">
      <c r="D48" s="48">
        <v>53</v>
      </c>
      <c r="E48" s="55">
        <f>IF(D48&lt;入力!$C$17,NA(),IF(D48&gt;入力!$H$48,NA(),D48))</f>
        <v>53</v>
      </c>
      <c r="F48" s="55">
        <f>IF(E48&gt;入力!$C$17,IF(Q47&gt;=P47,P48,(F47-L47)*(1-$B$27)),IF(E48=入力!$C$17,入力!$C$18,NA()))</f>
        <v>1144.2742297248478</v>
      </c>
      <c r="G48" s="49">
        <f>'樹高計算 '!N46</f>
        <v>25.926037016324717</v>
      </c>
      <c r="H48" s="49">
        <f>直径材積計算!L45</f>
        <v>918.11674681329373</v>
      </c>
      <c r="I48" s="49">
        <f>直径材積計算!I45</f>
        <v>28.536684795261003</v>
      </c>
      <c r="J48" s="84">
        <f t="shared" si="0"/>
        <v>0.80235726975522648</v>
      </c>
      <c r="K48" s="84">
        <f>ROUNDDOWN(直径材積計算!X45,2)</f>
        <v>0.87</v>
      </c>
      <c r="L48" s="55">
        <f t="shared" si="3"/>
        <v>0</v>
      </c>
      <c r="M48" s="62" t="e">
        <f>VLOOKUP(E48,入力!$H$38:$I$47,2,FALSE)</f>
        <v>#N/A</v>
      </c>
      <c r="N48" s="62">
        <f t="shared" si="2"/>
        <v>0</v>
      </c>
      <c r="O48" s="49">
        <f>直径材積計算!U45</f>
        <v>0</v>
      </c>
      <c r="P48" s="55">
        <f>直径材積計算!K161</f>
        <v>1807.1798767301277</v>
      </c>
      <c r="Q48" s="204">
        <f>直径材積計算!N45</f>
        <v>1144.2742297248478</v>
      </c>
      <c r="R48" s="49">
        <f>直径材積計算!T45</f>
        <v>918.11674681329373</v>
      </c>
      <c r="S48" s="49">
        <f>直径材積計算!S45</f>
        <v>28.536684795261003</v>
      </c>
      <c r="T48" s="84">
        <f>直径材積計算!Y45</f>
        <v>0.87498226021542458</v>
      </c>
      <c r="V48" s="153">
        <v>53</v>
      </c>
    </row>
    <row r="49" spans="4:22">
      <c r="D49" s="48">
        <v>54</v>
      </c>
      <c r="E49" s="55">
        <f>IF(D49&lt;入力!$C$17,NA(),IF(D49&gt;入力!$H$48,NA(),D49))</f>
        <v>54</v>
      </c>
      <c r="F49" s="55">
        <f>IF(E49&gt;入力!$C$17,IF(Q48&gt;=P48,P49,(F48-L48)*(1-$B$27)),IF(E49=入力!$C$17,入力!$C$18,NA()))</f>
        <v>1144.2742297248478</v>
      </c>
      <c r="G49" s="49">
        <f>'樹高計算 '!N47</f>
        <v>26.162771803082592</v>
      </c>
      <c r="H49" s="49">
        <f>直径材積計算!L46</f>
        <v>933.06564168197315</v>
      </c>
      <c r="I49" s="49">
        <f>直径材積計算!I46</f>
        <v>28.643795753893226</v>
      </c>
      <c r="J49" s="84">
        <f t="shared" si="0"/>
        <v>0.81542135394095006</v>
      </c>
      <c r="K49" s="84">
        <f>ROUNDDOWN(直径材積計算!X46,2)</f>
        <v>0.87</v>
      </c>
      <c r="L49" s="55">
        <f t="shared" si="3"/>
        <v>0</v>
      </c>
      <c r="M49" s="62" t="e">
        <f>VLOOKUP(E49,入力!$H$38:$I$47,2,FALSE)</f>
        <v>#N/A</v>
      </c>
      <c r="N49" s="62">
        <f t="shared" si="2"/>
        <v>0</v>
      </c>
      <c r="O49" s="49">
        <f>直径材積計算!U46</f>
        <v>0</v>
      </c>
      <c r="P49" s="55">
        <f>直径材積計算!K162</f>
        <v>1799.9998688671092</v>
      </c>
      <c r="Q49" s="204">
        <f>直径材積計算!N46</f>
        <v>1144.2742297248478</v>
      </c>
      <c r="R49" s="49">
        <f>直径材積計算!T46</f>
        <v>933.06564168197315</v>
      </c>
      <c r="S49" s="49">
        <f>直径材積計算!S46</f>
        <v>28.643795753893226</v>
      </c>
      <c r="T49" s="84">
        <f>直径材積計算!Y46</f>
        <v>0.87872668827096478</v>
      </c>
      <c r="V49" s="153">
        <v>54</v>
      </c>
    </row>
    <row r="50" spans="4:22">
      <c r="D50" s="48">
        <v>55</v>
      </c>
      <c r="E50" s="55">
        <f>IF(D50&lt;入力!$C$17,NA(),IF(D50&gt;入力!$H$48,NA(),D50))</f>
        <v>55</v>
      </c>
      <c r="F50" s="55">
        <f>IF(E50&gt;入力!$C$17,IF(Q49&gt;=P49,P50,(F49-L49)*(1-$B$27)),IF(E50=入力!$C$17,入力!$C$18,NA()))</f>
        <v>1144.2742297248478</v>
      </c>
      <c r="G50" s="49">
        <f>'樹高計算 '!N48</f>
        <v>26.393136822696903</v>
      </c>
      <c r="H50" s="49">
        <f>直径材積計算!L47</f>
        <v>947.68302598946764</v>
      </c>
      <c r="I50" s="49">
        <f>直径材積計算!I47</f>
        <v>28.746908057465127</v>
      </c>
      <c r="J50" s="84">
        <f t="shared" si="0"/>
        <v>0.82819572561495813</v>
      </c>
      <c r="K50" s="84">
        <f>ROUNDDOWN(直径材積計算!X47,2)</f>
        <v>0.88</v>
      </c>
      <c r="L50" s="55">
        <f t="shared" si="3"/>
        <v>230</v>
      </c>
      <c r="M50" s="62">
        <f>VLOOKUP(E50,入力!$H$38:$I$47,2,FALSE)</f>
        <v>0.2</v>
      </c>
      <c r="N50" s="62">
        <f t="shared" si="2"/>
        <v>0.2</v>
      </c>
      <c r="O50" s="49">
        <f>直径材積計算!U47</f>
        <v>75.6122588893071</v>
      </c>
      <c r="P50" s="55">
        <f>直径材積計算!K163</f>
        <v>1793.0435905621105</v>
      </c>
      <c r="Q50" s="204">
        <f>直径材積計算!N47</f>
        <v>914.27422972484783</v>
      </c>
      <c r="R50" s="49">
        <f>直径材積計算!T47</f>
        <v>872.07076710016054</v>
      </c>
      <c r="S50" s="49">
        <f>直径材積計算!S47</f>
        <v>31.338110019029251</v>
      </c>
      <c r="T50" s="84">
        <f>直径材積計算!Y47</f>
        <v>0.81192719070865715</v>
      </c>
      <c r="V50" s="153">
        <v>55</v>
      </c>
    </row>
    <row r="51" spans="4:22">
      <c r="D51" s="48">
        <v>56</v>
      </c>
      <c r="E51" s="55">
        <f>IF(D51&lt;入力!$C$17,NA(),IF(D51&gt;入力!$H$48,NA(),D51))</f>
        <v>56</v>
      </c>
      <c r="F51" s="55">
        <f>IF(E51&gt;入力!$C$17,IF(Q50&gt;=P50,P51,(F50-L50)*(1-$B$27)),IF(E51=入力!$C$17,入力!$C$18,NA()))</f>
        <v>914.27422972484783</v>
      </c>
      <c r="G51" s="49">
        <f>'樹高計算 '!N49</f>
        <v>26.617303451534312</v>
      </c>
      <c r="H51" s="49">
        <f>直径材積計算!L48</f>
        <v>885.74771455717746</v>
      </c>
      <c r="I51" s="49">
        <f>直径材積計算!I48</f>
        <v>31.456839417259982</v>
      </c>
      <c r="J51" s="84">
        <f t="shared" si="0"/>
        <v>0.96879873210879464</v>
      </c>
      <c r="K51" s="84">
        <f>ROUNDDOWN(直径材積計算!X48,2)</f>
        <v>0.81</v>
      </c>
      <c r="L51" s="55">
        <f t="shared" si="3"/>
        <v>0</v>
      </c>
      <c r="M51" s="62" t="e">
        <f>VLOOKUP(E51,入力!$H$38:$I$47,2,FALSE)</f>
        <v>#N/A</v>
      </c>
      <c r="N51" s="62">
        <f t="shared" si="2"/>
        <v>0</v>
      </c>
      <c r="O51" s="49">
        <f>直径材積計算!U48</f>
        <v>0</v>
      </c>
      <c r="P51" s="55">
        <f>直径材積計算!K164</f>
        <v>1786.303537022781</v>
      </c>
      <c r="Q51" s="204">
        <f>直径材積計算!N48</f>
        <v>914.27422972484783</v>
      </c>
      <c r="R51" s="49">
        <f>直径材積計算!T48</f>
        <v>885.74771455717746</v>
      </c>
      <c r="S51" s="49">
        <f>直径材積計算!S48</f>
        <v>31.456839417259982</v>
      </c>
      <c r="T51" s="84">
        <f>直径材積計算!Y48</f>
        <v>0.81559499761738974</v>
      </c>
      <c r="V51" s="153">
        <v>56</v>
      </c>
    </row>
    <row r="52" spans="4:22">
      <c r="D52" s="48">
        <v>57</v>
      </c>
      <c r="E52" s="55">
        <f>IF(D52&lt;入力!$C$17,NA(),IF(D52&gt;入力!$H$48,NA(),D52))</f>
        <v>57</v>
      </c>
      <c r="F52" s="55">
        <f>IF(E52&gt;入力!$C$17,IF(Q51&gt;=P51,P52,(F51-L51)*(1-$B$27)),IF(E52=入力!$C$17,入力!$C$18,NA()))</f>
        <v>914.27422972484783</v>
      </c>
      <c r="G52" s="49">
        <f>'樹高計算 '!N50</f>
        <v>26.835438989018716</v>
      </c>
      <c r="H52" s="49">
        <f>直径材積計算!L49</f>
        <v>899.12347291313961</v>
      </c>
      <c r="I52" s="49">
        <f>直径材積計算!I49</f>
        <v>31.571283556232814</v>
      </c>
      <c r="J52" s="84">
        <f t="shared" si="0"/>
        <v>0.98342865158053527</v>
      </c>
      <c r="K52" s="84">
        <f>ROUNDDOWN(直径材積計算!X49,2)</f>
        <v>0.81</v>
      </c>
      <c r="L52" s="55">
        <f t="shared" si="3"/>
        <v>0</v>
      </c>
      <c r="M52" s="62" t="e">
        <f>VLOOKUP(E52,入力!$H$38:$I$47,2,FALSE)</f>
        <v>#N/A</v>
      </c>
      <c r="N52" s="62">
        <f t="shared" si="2"/>
        <v>0</v>
      </c>
      <c r="O52" s="49">
        <f>直径材積計算!U49</f>
        <v>0</v>
      </c>
      <c r="P52" s="55">
        <f>直径材積計算!K165</f>
        <v>1779.7724468624328</v>
      </c>
      <c r="Q52" s="204">
        <f>直径材積計算!N49</f>
        <v>914.27422972484783</v>
      </c>
      <c r="R52" s="49">
        <f>直径材積計算!T49</f>
        <v>899.12347291313961</v>
      </c>
      <c r="S52" s="49">
        <f>直径材積計算!S49</f>
        <v>31.571283556232814</v>
      </c>
      <c r="T52" s="84">
        <f>直径材積計算!Y49</f>
        <v>0.81912621888220172</v>
      </c>
      <c r="V52" s="153">
        <v>57</v>
      </c>
    </row>
    <row r="53" spans="4:22">
      <c r="D53" s="48">
        <v>58</v>
      </c>
      <c r="E53" s="55">
        <f>IF(D53&lt;入力!$C$17,NA(),IF(D53&gt;入力!$H$48,NA(),D53))</f>
        <v>58</v>
      </c>
      <c r="F53" s="55">
        <f>IF(E53&gt;入力!$C$17,IF(Q52&gt;=P52,P53,(F52-L52)*(1-$B$27)),IF(E53=入力!$C$17,入力!$C$18,NA()))</f>
        <v>914.27422972484783</v>
      </c>
      <c r="G53" s="49">
        <f>'樹高計算 '!N51</f>
        <v>27.047706650624068</v>
      </c>
      <c r="H53" s="49">
        <f>直径材積計算!L50</f>
        <v>912.20209403078456</v>
      </c>
      <c r="I53" s="49">
        <f>直径材積計算!I50</f>
        <v>31.68163094721513</v>
      </c>
      <c r="J53" s="84">
        <f t="shared" si="0"/>
        <v>0.99773357311548982</v>
      </c>
      <c r="K53" s="84">
        <f>ROUNDDOWN(直径材積計算!X50,2)</f>
        <v>0.82</v>
      </c>
      <c r="L53" s="55">
        <f t="shared" si="3"/>
        <v>0</v>
      </c>
      <c r="M53" s="62" t="e">
        <f>VLOOKUP(E53,入力!$H$38:$I$47,2,FALSE)</f>
        <v>#N/A</v>
      </c>
      <c r="N53" s="62">
        <f t="shared" si="2"/>
        <v>0</v>
      </c>
      <c r="O53" s="49">
        <f>直径材積計算!U50</f>
        <v>0</v>
      </c>
      <c r="P53" s="55">
        <f>直径材積計算!K166</f>
        <v>1773.4432994474071</v>
      </c>
      <c r="Q53" s="204">
        <f>直径材積計算!N50</f>
        <v>914.27422972484783</v>
      </c>
      <c r="R53" s="49">
        <f>直径材積計算!T50</f>
        <v>912.20209403078456</v>
      </c>
      <c r="S53" s="49">
        <f>直径材積計算!S50</f>
        <v>31.68163094721513</v>
      </c>
      <c r="T53" s="84">
        <f>直径材積計算!Y50</f>
        <v>0.82252702726410298</v>
      </c>
      <c r="V53" s="153">
        <v>58</v>
      </c>
    </row>
    <row r="54" spans="4:22">
      <c r="D54" s="48">
        <v>59</v>
      </c>
      <c r="E54" s="55">
        <f>IF(D54&lt;入力!$C$17,NA(),IF(D54&gt;入力!$H$48,NA(),D54))</f>
        <v>59</v>
      </c>
      <c r="F54" s="55">
        <f>IF(E54&gt;入力!$C$17,IF(Q53&gt;=P53,P54,(F53-L53)*(1-$B$27)),IF(E54=入力!$C$17,入力!$C$18,NA()))</f>
        <v>914.27422972484783</v>
      </c>
      <c r="G54" s="49">
        <f>'樹高計算 '!N52</f>
        <v>27.25426557773557</v>
      </c>
      <c r="H54" s="49">
        <f>直径材積計算!L51</f>
        <v>924.98781146581121</v>
      </c>
      <c r="I54" s="49">
        <f>直径材積計算!I51</f>
        <v>31.78805990137991</v>
      </c>
      <c r="J54" s="84">
        <f t="shared" si="0"/>
        <v>1.0117181272233688</v>
      </c>
      <c r="K54" s="84">
        <f>ROUNDDOWN(直径材積計算!X51,2)</f>
        <v>0.82</v>
      </c>
      <c r="L54" s="55">
        <f t="shared" si="3"/>
        <v>0</v>
      </c>
      <c r="M54" s="62" t="e">
        <f>VLOOKUP(E54,入力!$H$38:$I$47,2,FALSE)</f>
        <v>#N/A</v>
      </c>
      <c r="N54" s="62">
        <f t="shared" si="2"/>
        <v>0</v>
      </c>
      <c r="O54" s="49">
        <f>直径材積計算!U51</f>
        <v>0</v>
      </c>
      <c r="P54" s="55">
        <f>直径材積計算!K167</f>
        <v>1767.3093112530271</v>
      </c>
      <c r="Q54" s="204">
        <f>直径材積計算!N51</f>
        <v>914.27422972484783</v>
      </c>
      <c r="R54" s="49">
        <f>直径材積計算!T51</f>
        <v>924.98781146581121</v>
      </c>
      <c r="S54" s="49">
        <f>直径材積計算!S51</f>
        <v>31.78805990137991</v>
      </c>
      <c r="T54" s="84">
        <f>直径材積計算!Y51</f>
        <v>0.82580325923670583</v>
      </c>
      <c r="V54" s="153">
        <v>59</v>
      </c>
    </row>
    <row r="55" spans="4:22">
      <c r="D55" s="48">
        <v>60</v>
      </c>
      <c r="E55" s="55">
        <f>IF(D55&lt;入力!$C$17,NA(),IF(D55&gt;入力!$H$48,NA(),D55))</f>
        <v>60</v>
      </c>
      <c r="F55" s="55">
        <f>IF(E55&gt;入力!$C$17,IF(Q54&gt;=P54,P55,(F54-L54)*(1-$B$27)),IF(E55=入力!$C$17,入力!$C$18,NA()))</f>
        <v>914.27422972484783</v>
      </c>
      <c r="G55" s="49">
        <f>'樹高計算 '!N53</f>
        <v>27.455270862155562</v>
      </c>
      <c r="H55" s="49">
        <f>直径材積計算!L52</f>
        <v>937.48501134342212</v>
      </c>
      <c r="I55" s="49">
        <f>直径材積計算!I52</f>
        <v>31.890739177455135</v>
      </c>
      <c r="J55" s="84">
        <f t="shared" si="0"/>
        <v>1.0253871112888739</v>
      </c>
      <c r="K55" s="84">
        <f>ROUNDDOWN(直径材積計算!X52,2)</f>
        <v>0.82</v>
      </c>
      <c r="L55" s="55">
        <f t="shared" si="3"/>
        <v>0</v>
      </c>
      <c r="M55" s="62" t="e">
        <f>VLOOKUP(E55,入力!$H$38:$I$47,2,FALSE)</f>
        <v>#N/A</v>
      </c>
      <c r="N55" s="62">
        <f t="shared" si="2"/>
        <v>0</v>
      </c>
      <c r="O55" s="49">
        <f>直径材積計算!U52</f>
        <v>0</v>
      </c>
      <c r="P55" s="55">
        <f>直径材積計算!K168</f>
        <v>1761.3639314195639</v>
      </c>
      <c r="Q55" s="204">
        <f>直径材積計算!N52</f>
        <v>914.27422972484783</v>
      </c>
      <c r="R55" s="49">
        <f>直径材積計算!T52</f>
        <v>937.48501134342212</v>
      </c>
      <c r="S55" s="49">
        <f>直径材積計算!S52</f>
        <v>31.890739177455135</v>
      </c>
      <c r="T55" s="84">
        <f>直径材積計算!Y52</f>
        <v>0.82896043580875112</v>
      </c>
      <c r="V55" s="153">
        <v>60</v>
      </c>
    </row>
    <row r="56" spans="4:22">
      <c r="D56" s="48">
        <v>61</v>
      </c>
      <c r="E56" s="55">
        <f>IF(D56&lt;入力!$C$17,NA(),IF(D56&gt;入力!$H$48,NA(),D56))</f>
        <v>61</v>
      </c>
      <c r="F56" s="55">
        <f>IF(E56&gt;入力!$C$17,IF(Q55&gt;=P55,P56,(F55-L55)*(1-$B$27)),IF(E56=入力!$C$17,入力!$C$18,NA()))</f>
        <v>914.27422972484783</v>
      </c>
      <c r="G56" s="49">
        <f>'樹高計算 '!N54</f>
        <v>27.650873583197519</v>
      </c>
      <c r="H56" s="49">
        <f>直径材積計算!L53</f>
        <v>949.6982061890576</v>
      </c>
      <c r="I56" s="49">
        <f>直径材積計算!I53</f>
        <v>31.989828584030956</v>
      </c>
      <c r="J56" s="84">
        <f t="shared" si="0"/>
        <v>1.0387454609487032</v>
      </c>
      <c r="K56" s="84">
        <f>ROUNDDOWN(直径材積計算!X53,2)</f>
        <v>0.83</v>
      </c>
      <c r="L56" s="55">
        <f t="shared" si="3"/>
        <v>0</v>
      </c>
      <c r="M56" s="62" t="e">
        <f>VLOOKUP(E56,入力!$H$38:$I$47,2,FALSE)</f>
        <v>#N/A</v>
      </c>
      <c r="N56" s="62">
        <f t="shared" si="2"/>
        <v>0</v>
      </c>
      <c r="O56" s="49">
        <f>直径材積計算!U53</f>
        <v>0</v>
      </c>
      <c r="P56" s="55">
        <f>直径材積計算!K169</f>
        <v>1755.6008366735552</v>
      </c>
      <c r="Q56" s="204">
        <f>直径材積計算!N53</f>
        <v>914.27422972484783</v>
      </c>
      <c r="R56" s="49">
        <f>直径材積計算!T53</f>
        <v>949.6982061890576</v>
      </c>
      <c r="S56" s="49">
        <f>直径材積計算!S53</f>
        <v>31.989828584030956</v>
      </c>
      <c r="T56" s="84">
        <f>直径材積計算!Y53</f>
        <v>0.8320037819963616</v>
      </c>
      <c r="V56" s="153">
        <v>61</v>
      </c>
    </row>
    <row r="57" spans="4:22">
      <c r="D57" s="48">
        <v>62</v>
      </c>
      <c r="E57" s="55">
        <f>IF(D57&lt;入力!$C$17,NA(),IF(D57&gt;入力!$H$48,NA(),D57))</f>
        <v>62</v>
      </c>
      <c r="F57" s="55">
        <f>IF(E57&gt;入力!$C$17,IF(Q56&gt;=P56,P57,(F56-L56)*(1-$B$27)),IF(E57=入力!$C$17,入力!$C$18,NA()))</f>
        <v>914.27422972484783</v>
      </c>
      <c r="G57" s="49">
        <f>'樹高計算 '!N55</f>
        <v>27.841220855483183</v>
      </c>
      <c r="H57" s="49">
        <f>直径材積計算!L54</f>
        <v>961.63201144937432</v>
      </c>
      <c r="I57" s="49">
        <f>直径材積計算!I54</f>
        <v>32.085479539893015</v>
      </c>
      <c r="J57" s="84">
        <f t="shared" si="0"/>
        <v>1.0517982244110489</v>
      </c>
      <c r="K57" s="84">
        <f>ROUNDDOWN(直径材積計算!X54,2)</f>
        <v>0.83</v>
      </c>
      <c r="L57" s="55">
        <f t="shared" si="3"/>
        <v>0</v>
      </c>
      <c r="M57" s="62" t="e">
        <f>VLOOKUP(E57,入力!$H$38:$I$47,2,FALSE)</f>
        <v>#N/A</v>
      </c>
      <c r="N57" s="62">
        <f t="shared" si="2"/>
        <v>0</v>
      </c>
      <c r="O57" s="49">
        <f>直径材積計算!U54</f>
        <v>0</v>
      </c>
      <c r="P57" s="55">
        <f>直径材積計算!K170</f>
        <v>1750.0139257566989</v>
      </c>
      <c r="Q57" s="204">
        <f>直径材積計算!N54</f>
        <v>914.27422972484783</v>
      </c>
      <c r="R57" s="49">
        <f>直径材積計算!T54</f>
        <v>961.63201144937432</v>
      </c>
      <c r="S57" s="49">
        <f>直径材積計算!S54</f>
        <v>32.085479539893015</v>
      </c>
      <c r="T57" s="84">
        <f>直径材積計算!Y54</f>
        <v>0.83493824502780456</v>
      </c>
      <c r="V57" s="153">
        <v>62</v>
      </c>
    </row>
    <row r="58" spans="4:22">
      <c r="D58" s="48">
        <v>63</v>
      </c>
      <c r="E58" s="55">
        <f>IF(D58&lt;入力!$C$17,NA(),IF(D58&gt;入力!$H$48,NA(),D58))</f>
        <v>63</v>
      </c>
      <c r="F58" s="55">
        <f>IF(E58&gt;入力!$C$17,IF(Q57&gt;=P57,P58,(F57-L57)*(1-$B$27)),IF(E58=入力!$C$17,入力!$C$18,NA()))</f>
        <v>914.27422972484783</v>
      </c>
      <c r="G58" s="49">
        <f>'樹高計算 '!N56</f>
        <v>28.026455885730172</v>
      </c>
      <c r="H58" s="49">
        <f>直径材積計算!L55</f>
        <v>973.29112445815372</v>
      </c>
      <c r="I58" s="49">
        <f>直径材積計算!I55</f>
        <v>32.177835595479465</v>
      </c>
      <c r="J58" s="84">
        <f t="shared" si="0"/>
        <v>1.0645505394492714</v>
      </c>
      <c r="K58" s="84">
        <f>ROUNDDOWN(直径材積計算!X55,2)</f>
        <v>0.83</v>
      </c>
      <c r="L58" s="55">
        <f t="shared" si="3"/>
        <v>0</v>
      </c>
      <c r="M58" s="62" t="e">
        <f>VLOOKUP(E58,入力!$H$38:$I$47,2,FALSE)</f>
        <v>#N/A</v>
      </c>
      <c r="N58" s="62">
        <f t="shared" si="2"/>
        <v>0</v>
      </c>
      <c r="O58" s="49">
        <f>直径材積計算!U55</f>
        <v>0</v>
      </c>
      <c r="P58" s="55">
        <f>直径材積計算!K171</f>
        <v>1744.5973134840822</v>
      </c>
      <c r="Q58" s="204">
        <f>直径材積計算!N55</f>
        <v>914.27422972484783</v>
      </c>
      <c r="R58" s="49">
        <f>直径材積計算!T55</f>
        <v>973.29112445815372</v>
      </c>
      <c r="S58" s="49">
        <f>直径材積計算!S55</f>
        <v>32.177835595479465</v>
      </c>
      <c r="T58" s="84">
        <f>直径材積計算!Y55</f>
        <v>0.83776851135962616</v>
      </c>
      <c r="V58" s="153">
        <v>63</v>
      </c>
    </row>
    <row r="59" spans="4:22">
      <c r="D59" s="48">
        <v>64</v>
      </c>
      <c r="E59" s="55">
        <f>IF(D59&lt;入力!$C$17,NA(),IF(D59&gt;入力!$H$48,NA(),D59))</f>
        <v>64</v>
      </c>
      <c r="F59" s="55">
        <f>IF(E59&gt;入力!$C$17,IF(Q58&gt;=P58,P59,(F58-L58)*(1-$B$27)),IF(E59=入力!$C$17,入力!$C$18,NA()))</f>
        <v>914.27422972484783</v>
      </c>
      <c r="G59" s="49">
        <f>'樹高計算 '!N57</f>
        <v>28.206718036985855</v>
      </c>
      <c r="H59" s="49">
        <f>直径材積計算!L56</f>
        <v>984.68030562012166</v>
      </c>
      <c r="I59" s="49">
        <f>直径材積計算!I56</f>
        <v>32.267032918314484</v>
      </c>
      <c r="J59" s="84">
        <f t="shared" si="0"/>
        <v>1.0770076128214428</v>
      </c>
      <c r="K59" s="84">
        <f>ROUNDDOWN(直径材積計算!X56,2)</f>
        <v>0.84</v>
      </c>
      <c r="L59" s="55">
        <f t="shared" si="3"/>
        <v>0</v>
      </c>
      <c r="M59" s="62" t="e">
        <f>VLOOKUP(E59,入力!$H$38:$I$47,2,FALSE)</f>
        <v>#N/A</v>
      </c>
      <c r="N59" s="62">
        <f t="shared" si="2"/>
        <v>0</v>
      </c>
      <c r="O59" s="49">
        <f>直径材積計算!U56</f>
        <v>0</v>
      </c>
      <c r="P59" s="55">
        <f>直径材積計算!K172</f>
        <v>1739.3453245355065</v>
      </c>
      <c r="Q59" s="204">
        <f>直径材積計算!N56</f>
        <v>914.27422972484783</v>
      </c>
      <c r="R59" s="49">
        <f>直径材積計算!T56</f>
        <v>984.68030562012166</v>
      </c>
      <c r="S59" s="49">
        <f>直径材積計算!S56</f>
        <v>32.267032918314484</v>
      </c>
      <c r="T59" s="84">
        <f>直径材積計算!Y56</f>
        <v>0.84049902257911968</v>
      </c>
      <c r="V59" s="153">
        <v>64</v>
      </c>
    </row>
    <row r="60" spans="4:22">
      <c r="D60" s="48">
        <v>65</v>
      </c>
      <c r="E60" s="55">
        <f>IF(D60&lt;入力!$C$17,NA(),IF(D60&gt;入力!$H$48,NA(),D60))</f>
        <v>65</v>
      </c>
      <c r="F60" s="55">
        <f>IF(E60&gt;入力!$C$17,IF(Q59&gt;=P59,P60,(F59-L59)*(1-$B$27)),IF(E60=入力!$C$17,入力!$C$18,NA()))</f>
        <v>914.27422972484783</v>
      </c>
      <c r="G60" s="49">
        <f>'樹高計算 '!N58</f>
        <v>28.382142898926077</v>
      </c>
      <c r="H60" s="49">
        <f>直径材積計算!L57</f>
        <v>995.80436160353179</v>
      </c>
      <c r="I60" s="49">
        <f>直径材積計算!I57</f>
        <v>32.353200745050863</v>
      </c>
      <c r="J60" s="84">
        <f t="shared" si="0"/>
        <v>1.0891747018870044</v>
      </c>
      <c r="K60" s="84">
        <f>ROUNDDOWN(直径材積計算!X57,2)</f>
        <v>0.84</v>
      </c>
      <c r="L60" s="55">
        <f t="shared" si="3"/>
        <v>0</v>
      </c>
      <c r="M60" s="62" t="e">
        <f>VLOOKUP(E60,入力!$H$38:$I$47,2,FALSE)</f>
        <v>#N/A</v>
      </c>
      <c r="N60" s="62">
        <f t="shared" si="2"/>
        <v>0</v>
      </c>
      <c r="O60" s="49">
        <f>直径材積計算!U57</f>
        <v>0</v>
      </c>
      <c r="P60" s="55">
        <f>直径材積計算!K173</f>
        <v>1734.252487067806</v>
      </c>
      <c r="Q60" s="204">
        <f>直径材積計算!N57</f>
        <v>914.27422972484783</v>
      </c>
      <c r="R60" s="49">
        <f>直径材積計算!T57</f>
        <v>995.80436160353179</v>
      </c>
      <c r="S60" s="49">
        <f>直径材積計算!S57</f>
        <v>32.353200745050863</v>
      </c>
      <c r="T60" s="84">
        <f>直径材積計算!Y57</f>
        <v>0.8431339902642484</v>
      </c>
      <c r="V60" s="153">
        <v>65</v>
      </c>
    </row>
    <row r="61" spans="4:22">
      <c r="D61" s="48">
        <v>66</v>
      </c>
      <c r="E61" s="55">
        <f>IF(D61&lt;入力!$C$17,NA(),IF(D61&gt;入力!$H$48,NA(),D61))</f>
        <v>66</v>
      </c>
      <c r="F61" s="55">
        <f>IF(E61&gt;入力!$C$17,IF(Q60&gt;=P60,P61,(F60-L60)*(1-$B$27)),IF(E61=入力!$C$17,入力!$C$18,NA()))</f>
        <v>914.27422972484783</v>
      </c>
      <c r="G61" s="49">
        <f>'樹高計算 '!N59</f>
        <v>28.552862362990862</v>
      </c>
      <c r="H61" s="49">
        <f>直径材積計算!L58</f>
        <v>1006.6681303493801</v>
      </c>
      <c r="I61" s="49">
        <f>直径材積計算!I58</f>
        <v>32.436461802551641</v>
      </c>
      <c r="J61" s="84">
        <f t="shared" si="0"/>
        <v>1.1010570982103898</v>
      </c>
      <c r="K61" s="84">
        <f>ROUNDDOWN(直径材積計算!X58,2)</f>
        <v>0.84</v>
      </c>
      <c r="L61" s="55">
        <f t="shared" si="3"/>
        <v>0</v>
      </c>
      <c r="M61" s="62" t="e">
        <f>VLOOKUP(E61,入力!$H$38:$I$47,2,FALSE)</f>
        <v>#N/A</v>
      </c>
      <c r="N61" s="62">
        <f t="shared" si="2"/>
        <v>0</v>
      </c>
      <c r="O61" s="49">
        <f>直径材積計算!U58</f>
        <v>0</v>
      </c>
      <c r="P61" s="55">
        <f>直径材積計算!K174</f>
        <v>1729.3135262222409</v>
      </c>
      <c r="Q61" s="204">
        <f>直径材積計算!N58</f>
        <v>914.27422972484783</v>
      </c>
      <c r="R61" s="49">
        <f>直径材積計算!T58</f>
        <v>1006.6681303493801</v>
      </c>
      <c r="S61" s="49">
        <f>直径材積計算!S58</f>
        <v>32.436461802551641</v>
      </c>
      <c r="T61" s="84">
        <f>直径材積計算!Y58</f>
        <v>0.84567740986833806</v>
      </c>
      <c r="V61" s="153">
        <v>66</v>
      </c>
    </row>
    <row r="62" spans="4:22">
      <c r="D62" s="48">
        <v>67</v>
      </c>
      <c r="E62" s="55">
        <f>IF(D62&lt;入力!$C$17,NA(),IF(D62&gt;入力!$H$48,NA(),D62))</f>
        <v>67</v>
      </c>
      <c r="F62" s="55">
        <f>IF(E62&gt;入力!$C$17,IF(Q61&gt;=P61,P62,(F61-L61)*(1-$B$27)),IF(E62=入力!$C$17,入力!$C$18,NA()))</f>
        <v>914.27422972484783</v>
      </c>
      <c r="G62" s="49">
        <f>'樹高計算 '!N60</f>
        <v>28.719004701274081</v>
      </c>
      <c r="H62" s="49">
        <f>直径材積計算!L59</f>
        <v>1017.2764677214876</v>
      </c>
      <c r="I62" s="49">
        <f>直径材積計算!I59</f>
        <v>32.516932700258167</v>
      </c>
      <c r="J62" s="84">
        <f t="shared" si="0"/>
        <v>1.1126601129593672</v>
      </c>
      <c r="K62" s="84">
        <f>ROUNDDOWN(直径材積計算!X59,2)</f>
        <v>0.84</v>
      </c>
      <c r="L62" s="55">
        <f t="shared" si="3"/>
        <v>0</v>
      </c>
      <c r="M62" s="62" t="e">
        <f>VLOOKUP(E62,入力!$H$38:$I$47,2,FALSE)</f>
        <v>#N/A</v>
      </c>
      <c r="N62" s="62">
        <f t="shared" si="2"/>
        <v>0</v>
      </c>
      <c r="O62" s="49">
        <f>直径材積計算!U59</f>
        <v>0</v>
      </c>
      <c r="P62" s="55">
        <f>直径材積計算!K175</f>
        <v>1724.5233575889124</v>
      </c>
      <c r="Q62" s="204">
        <f>直径材積計算!N59</f>
        <v>914.27422972484783</v>
      </c>
      <c r="R62" s="49">
        <f>直径材積計算!T59</f>
        <v>1017.2764677214876</v>
      </c>
      <c r="S62" s="49">
        <f>直径材積計算!S59</f>
        <v>32.516932700258167</v>
      </c>
      <c r="T62" s="84">
        <f>直径材積計算!Y59</f>
        <v>0.84813307369316104</v>
      </c>
      <c r="V62" s="153">
        <v>67</v>
      </c>
    </row>
    <row r="63" spans="4:22">
      <c r="D63" s="48">
        <v>68</v>
      </c>
      <c r="E63" s="55">
        <f>IF(D63&lt;入力!$C$17,NA(),IF(D63&gt;入力!$H$48,NA(),D63))</f>
        <v>68</v>
      </c>
      <c r="F63" s="55">
        <f>IF(E63&gt;入力!$C$17,IF(Q62&gt;=P62,P63,(F62-L62)*(1-$B$27)),IF(E63=入力!$C$17,入力!$C$18,NA()))</f>
        <v>914.27422972484783</v>
      </c>
      <c r="G63" s="49">
        <f>'樹高計算 '!N61</f>
        <v>28.880694648217556</v>
      </c>
      <c r="H63" s="49">
        <f>直径材積計算!L60</f>
        <v>1027.6342356369712</v>
      </c>
      <c r="I63" s="49">
        <f>直径材積計算!I60</f>
        <v>32.59472429592283</v>
      </c>
      <c r="J63" s="84">
        <f t="shared" si="0"/>
        <v>1.1239890639225818</v>
      </c>
      <c r="K63" s="84">
        <f>ROUNDDOWN(直径材積計算!X60,2)</f>
        <v>0.85</v>
      </c>
      <c r="L63" s="55">
        <f t="shared" si="3"/>
        <v>0</v>
      </c>
      <c r="M63" s="62" t="e">
        <f>VLOOKUP(E63,入力!$H$38:$I$47,2,FALSE)</f>
        <v>#N/A</v>
      </c>
      <c r="N63" s="62">
        <f t="shared" si="2"/>
        <v>0</v>
      </c>
      <c r="O63" s="49">
        <f>直径材積計算!U60</f>
        <v>0</v>
      </c>
      <c r="P63" s="55">
        <f>直径材積計算!K176</f>
        <v>1719.8770806796765</v>
      </c>
      <c r="Q63" s="204">
        <f>直径材積計算!N60</f>
        <v>914.27422972484783</v>
      </c>
      <c r="R63" s="49">
        <f>直径材積計算!T60</f>
        <v>1027.6342356369712</v>
      </c>
      <c r="S63" s="49">
        <f>直径材積計算!S60</f>
        <v>32.59472429592283</v>
      </c>
      <c r="T63" s="84">
        <f>直径材積計算!Y60</f>
        <v>0.85050458301042253</v>
      </c>
      <c r="V63" s="153">
        <v>68</v>
      </c>
    </row>
    <row r="64" spans="4:22">
      <c r="D64" s="48">
        <v>69</v>
      </c>
      <c r="E64" s="55">
        <f>IF(D64&lt;入力!$C$17,NA(),IF(D64&gt;入力!$H$48,NA(),D64))</f>
        <v>69</v>
      </c>
      <c r="F64" s="55">
        <f>IF(E64&gt;入力!$C$17,IF(Q63&gt;=P63,P64,(F63-L63)*(1-$B$27)),IF(E64=入力!$C$17,入力!$C$18,NA()))</f>
        <v>914.27422972484783</v>
      </c>
      <c r="G64" s="49">
        <f>'樹高計算 '!N62</f>
        <v>29.038053484283193</v>
      </c>
      <c r="H64" s="49">
        <f>直径材積計算!L61</f>
        <v>1037.7462915310678</v>
      </c>
      <c r="I64" s="49">
        <f>直径材積計算!I61</f>
        <v>32.669942036629919</v>
      </c>
      <c r="J64" s="84">
        <f t="shared" si="0"/>
        <v>1.1350492639865601</v>
      </c>
      <c r="K64" s="84">
        <f>ROUNDDOWN(直径材積計算!X61,2)</f>
        <v>0.85</v>
      </c>
      <c r="L64" s="55">
        <f t="shared" si="3"/>
        <v>0</v>
      </c>
      <c r="M64" s="62" t="e">
        <f>VLOOKUP(E64,入力!$H$38:$I$47,2,FALSE)</f>
        <v>#N/A</v>
      </c>
      <c r="N64" s="62">
        <f t="shared" si="2"/>
        <v>0</v>
      </c>
      <c r="O64" s="49">
        <f>直径材積計算!U61</f>
        <v>0</v>
      </c>
      <c r="P64" s="55">
        <f>直径材積計算!K177</f>
        <v>1715.3699724518976</v>
      </c>
      <c r="Q64" s="204">
        <f>直径材積計算!N61</f>
        <v>914.27422972484783</v>
      </c>
      <c r="R64" s="49">
        <f>直径材積計算!T61</f>
        <v>1037.7462915310678</v>
      </c>
      <c r="S64" s="49">
        <f>直径材積計算!S61</f>
        <v>32.669942036629919</v>
      </c>
      <c r="T64" s="84">
        <f>直径材積計算!Y61</f>
        <v>0.85279535938815298</v>
      </c>
      <c r="V64" s="153">
        <v>69</v>
      </c>
    </row>
    <row r="65" spans="4:22">
      <c r="D65" s="48">
        <v>70</v>
      </c>
      <c r="E65" s="55">
        <f>IF(D65&lt;入力!$C$17,NA(),IF(D65&gt;入力!$H$48,NA(),D65))</f>
        <v>70</v>
      </c>
      <c r="F65" s="55">
        <f>IF(E65&gt;入力!$C$17,IF(Q64&gt;=P64,P65,(F64-L64)*(1-$B$27)),IF(E65=入力!$C$17,入力!$C$18,NA()))</f>
        <v>914.27422972484783</v>
      </c>
      <c r="G65" s="49">
        <f>'樹高計算 '!N63</f>
        <v>29.191199120888513</v>
      </c>
      <c r="H65" s="49">
        <f>直径材積計算!L62</f>
        <v>1047.6174790236453</v>
      </c>
      <c r="I65" s="49">
        <f>直径材積計算!I62</f>
        <v>32.742686276885834</v>
      </c>
      <c r="J65" s="84">
        <f t="shared" si="0"/>
        <v>1.1458460109270796</v>
      </c>
      <c r="K65" s="84">
        <f>ROUNDDOWN(直径材積計算!X62,2)</f>
        <v>0.85</v>
      </c>
      <c r="L65" s="55">
        <f t="shared" si="3"/>
        <v>0</v>
      </c>
      <c r="M65" s="62" t="e">
        <f>VLOOKUP(E65,入力!$H$38:$I$47,2,FALSE)</f>
        <v>#N/A</v>
      </c>
      <c r="N65" s="62">
        <f t="shared" si="2"/>
        <v>0</v>
      </c>
      <c r="O65" s="49">
        <f>直径材積計算!U62</f>
        <v>0</v>
      </c>
      <c r="P65" s="55">
        <f>直径材積計算!K178</f>
        <v>1710.997480917549</v>
      </c>
      <c r="Q65" s="204">
        <f>直径材積計算!N62</f>
        <v>914.27422972484783</v>
      </c>
      <c r="R65" s="49">
        <f>直径材積計算!T62</f>
        <v>1047.6174790236453</v>
      </c>
      <c r="S65" s="49">
        <f>直径材積計算!S62</f>
        <v>32.742686276885834</v>
      </c>
      <c r="T65" s="84">
        <f>直径材積計算!Y62</f>
        <v>0.85500865527514358</v>
      </c>
      <c r="V65" s="153">
        <v>70</v>
      </c>
    </row>
    <row r="66" spans="4:22">
      <c r="D66" s="48">
        <v>71</v>
      </c>
      <c r="E66" s="55">
        <f>IF(D66&lt;入力!$C$17,NA(),IF(D66&gt;入力!$H$48,NA(),D66))</f>
        <v>71</v>
      </c>
      <c r="F66" s="55">
        <f>IF(E66&gt;入力!$C$17,IF(Q65&gt;=P65,P66,(F65-L65)*(1-$B$27)),IF(E66=入力!$C$17,入力!$C$18,NA()))</f>
        <v>914.27422972484783</v>
      </c>
      <c r="G66" s="49">
        <f>'樹高計算 '!N64</f>
        <v>29.340246185992296</v>
      </c>
      <c r="H66" s="49">
        <f>直径材積計算!L63</f>
        <v>1057.2526196671756</v>
      </c>
      <c r="I66" s="49">
        <f>直径材積計算!I63</f>
        <v>32.813052575428067</v>
      </c>
      <c r="J66" s="84">
        <f t="shared" si="0"/>
        <v>1.1563845783833997</v>
      </c>
      <c r="K66" s="84">
        <f>ROUNDDOWN(直径材積計算!X63,2)</f>
        <v>0.85</v>
      </c>
      <c r="L66" s="55">
        <f t="shared" si="3"/>
        <v>0</v>
      </c>
      <c r="M66" s="62" t="e">
        <f>VLOOKUP(E66,入力!$H$38:$I$47,2,FALSE)</f>
        <v>#N/A</v>
      </c>
      <c r="N66" s="62">
        <f t="shared" si="2"/>
        <v>0</v>
      </c>
      <c r="O66" s="49">
        <f>直径材積計算!U63</f>
        <v>0</v>
      </c>
      <c r="P66" s="55">
        <f>直径材積計算!K179</f>
        <v>1706.7552188653935</v>
      </c>
      <c r="Q66" s="204">
        <f>直径材積計算!N63</f>
        <v>914.27422972484783</v>
      </c>
      <c r="R66" s="49">
        <f>直径材積計算!T63</f>
        <v>1057.2526196671756</v>
      </c>
      <c r="S66" s="49">
        <f>直径材積計算!S63</f>
        <v>32.813052575428067</v>
      </c>
      <c r="T66" s="84">
        <f>直径材積計算!Y63</f>
        <v>0.8571475638933076</v>
      </c>
      <c r="V66" s="153">
        <v>71</v>
      </c>
    </row>
    <row r="67" spans="4:22">
      <c r="D67" s="48">
        <v>72</v>
      </c>
      <c r="E67" s="55">
        <f>IF(D67&lt;入力!$C$17,NA(),IF(D67&gt;入力!$H$48,NA(),D67))</f>
        <v>72</v>
      </c>
      <c r="F67" s="55">
        <f>IF(E67&gt;入力!$C$17,IF(Q66&gt;=P66,P67,(F66-L66)*(1-$B$27)),IF(E67=入力!$C$17,入力!$C$18,NA()))</f>
        <v>914.27422972484783</v>
      </c>
      <c r="G67" s="49">
        <f>'樹高計算 '!N65</f>
        <v>29.485306109807635</v>
      </c>
      <c r="H67" s="49">
        <f>直径材積計算!L64</f>
        <v>1066.656505667341</v>
      </c>
      <c r="I67" s="49">
        <f>直径材積計算!I64</f>
        <v>32.8811319722804</v>
      </c>
      <c r="J67" s="84">
        <f t="shared" si="0"/>
        <v>1.1666702078963254</v>
      </c>
      <c r="K67" s="84">
        <f>ROUNDDOWN(直径材積計算!X64,2)</f>
        <v>0.85</v>
      </c>
      <c r="L67" s="55">
        <f t="shared" si="3"/>
        <v>0</v>
      </c>
      <c r="M67" s="62" t="e">
        <f>VLOOKUP(E67,入力!$H$38:$I$47,2,FALSE)</f>
        <v>#N/A</v>
      </c>
      <c r="N67" s="62">
        <f t="shared" si="2"/>
        <v>0</v>
      </c>
      <c r="O67" s="49">
        <f>直径材積計算!U64</f>
        <v>0</v>
      </c>
      <c r="P67" s="55">
        <f>直径材積計算!K180</f>
        <v>1702.6389577182183</v>
      </c>
      <c r="Q67" s="204">
        <f>直径材積計算!N64</f>
        <v>914.27422972484783</v>
      </c>
      <c r="R67" s="49">
        <f>直径材積計算!T64</f>
        <v>1066.656505667341</v>
      </c>
      <c r="S67" s="49">
        <f>直径材積計算!S64</f>
        <v>32.8811319722804</v>
      </c>
      <c r="T67" s="84">
        <f>直径材積計算!Y64</f>
        <v>0.85921502848473585</v>
      </c>
      <c r="V67" s="153">
        <v>72</v>
      </c>
    </row>
    <row r="68" spans="4:22">
      <c r="D68" s="48">
        <v>73</v>
      </c>
      <c r="E68" s="55">
        <f>IF(D68&lt;入力!$C$17,NA(),IF(D68&gt;入力!$H$48,NA(),D68))</f>
        <v>73</v>
      </c>
      <c r="F68" s="55">
        <f>IF(E68&gt;入力!$C$17,IF(Q67&gt;=P67,P68,(F67-L67)*(1-$B$27)),IF(E68=入力!$C$17,入力!$C$18,NA()))</f>
        <v>914.27422972484783</v>
      </c>
      <c r="G68" s="49">
        <f>'樹高計算 '!N66</f>
        <v>29.62648721020097</v>
      </c>
      <c r="H68" s="49">
        <f>直径材積計算!L65</f>
        <v>1075.833893478009</v>
      </c>
      <c r="I68" s="49">
        <f>直径材積計算!I65</f>
        <v>32.947011247470357</v>
      </c>
      <c r="J68" s="84">
        <f t="shared" si="0"/>
        <v>1.1767081019026238</v>
      </c>
      <c r="K68" s="84">
        <f>ROUNDDOWN(直径材積計算!X65,2)</f>
        <v>0.86</v>
      </c>
      <c r="L68" s="55">
        <f t="shared" si="3"/>
        <v>0</v>
      </c>
      <c r="M68" s="62" t="e">
        <f>VLOOKUP(E68,入力!$H$38:$I$47,2,FALSE)</f>
        <v>#N/A</v>
      </c>
      <c r="N68" s="62">
        <f t="shared" si="2"/>
        <v>0</v>
      </c>
      <c r="O68" s="49">
        <f>直径材積計算!U65</f>
        <v>0</v>
      </c>
      <c r="P68" s="55">
        <f>直径材積計算!K181</f>
        <v>1698.644621542132</v>
      </c>
      <c r="Q68" s="204">
        <f>直径材積計算!N65</f>
        <v>914.27422972484783</v>
      </c>
      <c r="R68" s="49">
        <f>直径材積計算!T65</f>
        <v>1075.833893478009</v>
      </c>
      <c r="S68" s="49">
        <f>直径材積計算!S65</f>
        <v>32.947011247470357</v>
      </c>
      <c r="T68" s="84">
        <f>直径材積計算!Y65</f>
        <v>0.86121385095724978</v>
      </c>
      <c r="V68" s="153">
        <v>73</v>
      </c>
    </row>
    <row r="69" spans="4:22">
      <c r="D69" s="48">
        <v>74</v>
      </c>
      <c r="E69" s="55">
        <f>IF(D69&lt;入力!$C$17,NA(),IF(D69&gt;入力!$H$48,NA(),D69))</f>
        <v>74</v>
      </c>
      <c r="F69" s="55">
        <f>IF(E69&gt;入力!$C$17,IF(Q68&gt;=P68,P69,(F68-L68)*(1-$B$27)),IF(E69=入力!$C$17,入力!$C$18,NA()))</f>
        <v>914.27422972484783</v>
      </c>
      <c r="G69" s="49">
        <f>'樹高計算 '!N67</f>
        <v>29.763894777407348</v>
      </c>
      <c r="H69" s="49">
        <f>直径材積計算!L66</f>
        <v>1084.7894981818608</v>
      </c>
      <c r="I69" s="49">
        <f>直径材積計算!I66</f>
        <v>33.010773162719303</v>
      </c>
      <c r="J69" s="84">
        <f t="shared" si="0"/>
        <v>1.1865034175887577</v>
      </c>
      <c r="K69" s="84">
        <f>ROUNDDOWN(直径材積計算!X66,2)</f>
        <v>0.86</v>
      </c>
      <c r="L69" s="55">
        <f t="shared" si="3"/>
        <v>0</v>
      </c>
      <c r="M69" s="62" t="e">
        <f>VLOOKUP(E69,入力!$H$38:$I$47,2,FALSE)</f>
        <v>#N/A</v>
      </c>
      <c r="N69" s="62">
        <f t="shared" si="2"/>
        <v>0</v>
      </c>
      <c r="O69" s="49">
        <f>直径材積計算!U66</f>
        <v>0</v>
      </c>
      <c r="P69" s="55">
        <f>直径材積計算!K182</f>
        <v>1694.7682812207734</v>
      </c>
      <c r="Q69" s="204">
        <f>直径材積計算!N66</f>
        <v>914.27422972484783</v>
      </c>
      <c r="R69" s="49">
        <f>直径材積計算!T66</f>
        <v>1084.7894981818608</v>
      </c>
      <c r="S69" s="49">
        <f>直径材積計算!S66</f>
        <v>33.010773162719303</v>
      </c>
      <c r="T69" s="84">
        <f>直径材積計算!Y66</f>
        <v>0.86314669996941906</v>
      </c>
      <c r="V69" s="153">
        <v>74</v>
      </c>
    </row>
    <row r="70" spans="4:22">
      <c r="D70" s="48">
        <v>75</v>
      </c>
      <c r="E70" s="55">
        <f>IF(D70&lt;入力!$C$17,NA(),IF(D70&gt;入力!$H$48,NA(),D70))</f>
        <v>75</v>
      </c>
      <c r="F70" s="55">
        <f>IF(E70&gt;入力!$C$17,IF(Q69&gt;=P69,P70,(F69-L69)*(1-$B$27)),IF(E70=入力!$C$17,入力!$C$18,NA()))</f>
        <v>914.27422972484783</v>
      </c>
      <c r="G70" s="49">
        <f>'樹高計算 '!N68</f>
        <v>29.897631157755349</v>
      </c>
      <c r="H70" s="49">
        <f>直径材積計算!L67</f>
        <v>1093.5279885767359</v>
      </c>
      <c r="I70" s="49">
        <f>直径材積計算!I67</f>
        <v>33.072496687320559</v>
      </c>
      <c r="J70" s="84">
        <f t="shared" ref="J70:J115" si="4">H70/F70</f>
        <v>1.1960612615165087</v>
      </c>
      <c r="K70" s="84">
        <f>ROUNDDOWN(直径材積計算!X67,2)</f>
        <v>0.86</v>
      </c>
      <c r="L70" s="55">
        <f t="shared" si="3"/>
        <v>0</v>
      </c>
      <c r="M70" s="62" t="e">
        <f>VLOOKUP(E70,入力!$H$38:$I$47,2,FALSE)</f>
        <v>#N/A</v>
      </c>
      <c r="N70" s="62">
        <f t="shared" ref="N70:N115" si="5">SUMIF(M70,"&lt;&gt;#N/A")</f>
        <v>0</v>
      </c>
      <c r="O70" s="49">
        <f>直径材積計算!U67</f>
        <v>0</v>
      </c>
      <c r="P70" s="55">
        <f>直径材積計算!K183</f>
        <v>1691.0061488037268</v>
      </c>
      <c r="Q70" s="204">
        <f>直径材積計算!N67</f>
        <v>914.27422972484783</v>
      </c>
      <c r="R70" s="49">
        <f>直径材積計算!T67</f>
        <v>1093.5279885767359</v>
      </c>
      <c r="S70" s="49">
        <f>直径材積計算!S67</f>
        <v>33.072496687320559</v>
      </c>
      <c r="T70" s="84">
        <f>直径材積計算!Y67</f>
        <v>0.86501611849332682</v>
      </c>
      <c r="V70" s="153">
        <v>75</v>
      </c>
    </row>
    <row r="71" spans="4:22">
      <c r="D71" s="48">
        <v>76</v>
      </c>
      <c r="E71" s="55">
        <f>IF(D71&lt;入力!$C$17,NA(),IF(D71&gt;入力!$H$48,NA(),D71))</f>
        <v>76</v>
      </c>
      <c r="F71" s="55">
        <f>IF(E71&gt;入力!$C$17,IF(Q70&gt;=P70,P71,(F70-L70)*(1-$B$27)),IF(E71=入力!$C$17,入力!$C$18,NA()))</f>
        <v>914.27422972484783</v>
      </c>
      <c r="G71" s="49">
        <f>'樹高計算 '!N69</f>
        <v>30.027795836151071</v>
      </c>
      <c r="H71" s="49">
        <f>直径材積計算!L68</f>
        <v>1102.0539828957105</v>
      </c>
      <c r="I71" s="49">
        <f>直径材積計算!I68</f>
        <v>33.132257209330369</v>
      </c>
      <c r="J71" s="84">
        <f t="shared" si="4"/>
        <v>1.2053866849417547</v>
      </c>
      <c r="K71" s="84">
        <f>ROUNDDOWN(直径材積計算!X68,2)</f>
        <v>0.86</v>
      </c>
      <c r="L71" s="55">
        <f t="shared" ref="L71:L102" si="6">ROUNDUP(F71*N71,-1)</f>
        <v>0</v>
      </c>
      <c r="M71" s="62" t="e">
        <f>VLOOKUP(E71,入力!$H$38:$I$47,2,FALSE)</f>
        <v>#N/A</v>
      </c>
      <c r="N71" s="62">
        <f t="shared" si="5"/>
        <v>0</v>
      </c>
      <c r="O71" s="49">
        <f>直径材積計算!U68</f>
        <v>0</v>
      </c>
      <c r="P71" s="55">
        <f>直径材積計算!K184</f>
        <v>1687.3545720354739</v>
      </c>
      <c r="Q71" s="204">
        <f>直径材積計算!N68</f>
        <v>914.27422972484783</v>
      </c>
      <c r="R71" s="49">
        <f>直径材積計算!T68</f>
        <v>1102.0539828957105</v>
      </c>
      <c r="S71" s="49">
        <f>直径材積計算!S68</f>
        <v>33.132257209330369</v>
      </c>
      <c r="T71" s="84">
        <f>直径材積計算!Y68</f>
        <v>0.86682453089082323</v>
      </c>
      <c r="V71" s="153">
        <v>76</v>
      </c>
    </row>
    <row r="72" spans="4:22">
      <c r="D72" s="48">
        <v>77</v>
      </c>
      <c r="E72" s="55">
        <f>IF(D72&lt;入力!$C$17,NA(),IF(D72&gt;入力!$H$48,NA(),D72))</f>
        <v>77</v>
      </c>
      <c r="F72" s="55">
        <f>IF(E72&gt;入力!$C$17,IF(Q71&gt;=P71,P72,(F71-L71)*(1-$B$27)),IF(E72=入力!$C$17,入力!$C$18,NA()))</f>
        <v>914.27422972484783</v>
      </c>
      <c r="G72" s="49">
        <f>'樹高計算 '!N70</f>
        <v>30.154485517118435</v>
      </c>
      <c r="H72" s="49">
        <f>直径材積計算!L69</f>
        <v>1110.3720450961353</v>
      </c>
      <c r="I72" s="49">
        <f>直径材積計算!I69</f>
        <v>33.190126733114376</v>
      </c>
      <c r="J72" s="84">
        <f t="shared" si="4"/>
        <v>1.2144846797555513</v>
      </c>
      <c r="K72" s="84">
        <f>ROUNDDOWN(直径材積計算!X69,2)</f>
        <v>0.86</v>
      </c>
      <c r="L72" s="55">
        <f t="shared" si="6"/>
        <v>0</v>
      </c>
      <c r="M72" s="62" t="e">
        <f>VLOOKUP(E72,入力!$H$38:$I$47,2,FALSE)</f>
        <v>#N/A</v>
      </c>
      <c r="N72" s="62">
        <f t="shared" si="5"/>
        <v>0</v>
      </c>
      <c r="O72" s="49">
        <f>直径材積計算!U69</f>
        <v>0</v>
      </c>
      <c r="P72" s="55">
        <f>直径材積計算!K185</f>
        <v>1683.8100290687141</v>
      </c>
      <c r="Q72" s="204">
        <f>直径材積計算!N69</f>
        <v>914.27422972484783</v>
      </c>
      <c r="R72" s="49">
        <f>直径材積計算!T69</f>
        <v>1110.3720450961353</v>
      </c>
      <c r="S72" s="49">
        <f>直径材積計算!S69</f>
        <v>33.190126733114376</v>
      </c>
      <c r="T72" s="84">
        <f>直径材積計算!Y69</f>
        <v>0.86857424953660067</v>
      </c>
      <c r="V72" s="153">
        <v>77</v>
      </c>
    </row>
    <row r="73" spans="4:22">
      <c r="D73" s="48">
        <v>78</v>
      </c>
      <c r="E73" s="55">
        <f>IF(D73&lt;入力!$C$17,NA(),IF(D73&gt;入力!$H$48,NA(),D73))</f>
        <v>78</v>
      </c>
      <c r="F73" s="55">
        <f>IF(E73&gt;入力!$C$17,IF(Q72&gt;=P72,P73,(F72-L72)*(1-$B$27)),IF(E73=入力!$C$17,入力!$C$18,NA()))</f>
        <v>914.27422972484783</v>
      </c>
      <c r="G73" s="49">
        <f>'樹高計算 '!N71</f>
        <v>30.277794204235548</v>
      </c>
      <c r="H73" s="49">
        <f>直径材積計算!L70</f>
        <v>1118.4866816593867</v>
      </c>
      <c r="I73" s="49">
        <f>直径材積計算!I70</f>
        <v>33.246174064215388</v>
      </c>
      <c r="J73" s="84">
        <f t="shared" si="4"/>
        <v>1.2233601749838197</v>
      </c>
      <c r="K73" s="84">
        <f>ROUNDDOWN(直径材積計算!X70,2)</f>
        <v>0.87</v>
      </c>
      <c r="L73" s="55">
        <f t="shared" si="6"/>
        <v>0</v>
      </c>
      <c r="M73" s="62" t="e">
        <f>VLOOKUP(E73,入力!$H$38:$I$47,2,FALSE)</f>
        <v>#N/A</v>
      </c>
      <c r="N73" s="62">
        <f t="shared" si="5"/>
        <v>0</v>
      </c>
      <c r="O73" s="49">
        <f>直径材積計算!U70</f>
        <v>0</v>
      </c>
      <c r="P73" s="55">
        <f>直径材積計算!K186</f>
        <v>1680.3691233638381</v>
      </c>
      <c r="Q73" s="204">
        <f>直径材積計算!N70</f>
        <v>914.27422972484783</v>
      </c>
      <c r="R73" s="49">
        <f>直径材積計算!T70</f>
        <v>1118.4866816593867</v>
      </c>
      <c r="S73" s="49">
        <f>直径材積計算!S70</f>
        <v>33.246174064215388</v>
      </c>
      <c r="T73" s="84">
        <f>直径材積計算!Y70</f>
        <v>0.87026748101916784</v>
      </c>
      <c r="V73" s="153">
        <v>78</v>
      </c>
    </row>
    <row r="74" spans="4:22">
      <c r="D74" s="48">
        <v>79</v>
      </c>
      <c r="E74" s="55">
        <f>IF(D74&lt;入力!$C$17,NA(),IF(D74&gt;入力!$H$48,NA(),D74))</f>
        <v>79</v>
      </c>
      <c r="F74" s="55">
        <f>IF(E74&gt;入力!$C$17,IF(Q73&gt;=P73,P74,(F73-L73)*(1-$B$27)),IF(E74=入力!$C$17,入力!$C$18,NA()))</f>
        <v>914.27422972484783</v>
      </c>
      <c r="G74" s="49">
        <f>'樹高計算 '!N72</f>
        <v>30.397813277842882</v>
      </c>
      <c r="H74" s="49">
        <f>直径材積計算!L71</f>
        <v>1126.4023388489622</v>
      </c>
      <c r="I74" s="49">
        <f>直径材積計算!I71</f>
        <v>33.300464982436388</v>
      </c>
      <c r="J74" s="84">
        <f t="shared" si="4"/>
        <v>1.2320180337883466</v>
      </c>
      <c r="K74" s="84">
        <f>ROUNDDOWN(直径材積計算!X71,2)</f>
        <v>0.87</v>
      </c>
      <c r="L74" s="55">
        <f t="shared" si="6"/>
        <v>0</v>
      </c>
      <c r="M74" s="62" t="e">
        <f>VLOOKUP(E74,入力!$H$38:$I$47,2,FALSE)</f>
        <v>#N/A</v>
      </c>
      <c r="N74" s="62">
        <f t="shared" si="5"/>
        <v>0</v>
      </c>
      <c r="O74" s="49">
        <f>直径材積計算!U71</f>
        <v>0</v>
      </c>
      <c r="P74" s="55">
        <f>直径材積計算!K187</f>
        <v>1677.0285787746329</v>
      </c>
      <c r="Q74" s="204">
        <f>直径材積計算!N71</f>
        <v>914.27422972484783</v>
      </c>
      <c r="R74" s="49">
        <f>直径材積計算!T71</f>
        <v>1126.4023388489622</v>
      </c>
      <c r="S74" s="49">
        <f>直径材積計算!S71</f>
        <v>33.300464982436388</v>
      </c>
      <c r="T74" s="84">
        <f>直径材積計算!Y71</f>
        <v>0.8719063319486613</v>
      </c>
      <c r="V74" s="153">
        <v>79</v>
      </c>
    </row>
    <row r="75" spans="4:22">
      <c r="D75" s="48">
        <v>80</v>
      </c>
      <c r="E75" s="55">
        <f>IF(D75&lt;入力!$C$17,NA(),IF(D75&gt;入力!$H$48,NA(),D75))</f>
        <v>80</v>
      </c>
      <c r="F75" s="55">
        <f>IF(E75&gt;入力!$C$17,IF(Q74&gt;=P74,P75,(F74-L74)*(1-$B$27)),IF(E75=入力!$C$17,入力!$C$18,NA()))</f>
        <v>914.27422972484783</v>
      </c>
      <c r="G75" s="49">
        <f>'樹高計算 '!N73</f>
        <v>30.514631570930302</v>
      </c>
      <c r="H75" s="49">
        <f>直径材積計算!L72</f>
        <v>1134.1234003799025</v>
      </c>
      <c r="I75" s="49">
        <f>直径材積計算!I72</f>
        <v>33.353062403968352</v>
      </c>
      <c r="J75" s="84">
        <f t="shared" si="4"/>
        <v>1.2404630509176864</v>
      </c>
      <c r="K75" s="84">
        <f>ROUNDDOWN(直径材積計算!X72,2)</f>
        <v>0.87</v>
      </c>
      <c r="L75" s="55">
        <f t="shared" si="6"/>
        <v>0</v>
      </c>
      <c r="M75" s="62" t="e">
        <f>VLOOKUP(E75,入力!$H$38:$I$47,2,FALSE)</f>
        <v>#N/A</v>
      </c>
      <c r="N75" s="62">
        <f t="shared" si="5"/>
        <v>0</v>
      </c>
      <c r="O75" s="49">
        <f>直径材積計算!U72</f>
        <v>0</v>
      </c>
      <c r="P75" s="55">
        <f>直径材積計算!K188</f>
        <v>1673.7852348188915</v>
      </c>
      <c r="Q75" s="204">
        <f>直径材積計算!N72</f>
        <v>914.27422972484783</v>
      </c>
      <c r="R75" s="49">
        <f>直径材積計算!T72</f>
        <v>1134.1234003799025</v>
      </c>
      <c r="S75" s="49">
        <f>直径材積計算!S72</f>
        <v>33.353062403968352</v>
      </c>
      <c r="T75" s="84">
        <f>直径材積計算!Y72</f>
        <v>0.87349281439844451</v>
      </c>
      <c r="V75" s="153">
        <v>80</v>
      </c>
    </row>
    <row r="76" spans="4:22">
      <c r="D76" s="48">
        <v>81</v>
      </c>
      <c r="E76" s="55">
        <f>IF(D76&lt;入力!$C$17,NA(),IF(D76&gt;入力!$H$48,NA(),D76))</f>
        <v>81</v>
      </c>
      <c r="F76" s="55">
        <f>IF(E76&gt;入力!$C$17,IF(Q75&gt;=P75,P76,(F75-L75)*(1-$B$27)),IF(E76=入力!$C$17,入力!$C$18,NA()))</f>
        <v>914.27422972484783</v>
      </c>
      <c r="G76" s="49">
        <f>'樹高計算 '!N74</f>
        <v>30.628335443136372</v>
      </c>
      <c r="H76" s="49">
        <f>直径材積計算!L73</f>
        <v>1141.6541854572299</v>
      </c>
      <c r="I76" s="49">
        <f>直径材積計算!I73</f>
        <v>33.40402653332923</v>
      </c>
      <c r="J76" s="84">
        <f t="shared" si="4"/>
        <v>1.2486999505616738</v>
      </c>
      <c r="K76" s="84">
        <f>ROUNDDOWN(直径材積計算!X73,2)</f>
        <v>0.87</v>
      </c>
      <c r="L76" s="55">
        <f t="shared" si="6"/>
        <v>0</v>
      </c>
      <c r="M76" s="62" t="e">
        <f>VLOOKUP(E76,入力!$H$38:$I$47,2,FALSE)</f>
        <v>#N/A</v>
      </c>
      <c r="N76" s="62">
        <f t="shared" si="5"/>
        <v>0</v>
      </c>
      <c r="O76" s="49">
        <f>直径材積計算!U73</f>
        <v>0</v>
      </c>
      <c r="P76" s="55">
        <f>直径材積計算!K189</f>
        <v>1670.6360421315167</v>
      </c>
      <c r="Q76" s="204">
        <f>直径材積計算!N73</f>
        <v>914.27422972484783</v>
      </c>
      <c r="R76" s="49">
        <f>直径材積計算!T73</f>
        <v>1141.6541854572299</v>
      </c>
      <c r="S76" s="49">
        <f>直径材積計算!S73</f>
        <v>33.40402653332923</v>
      </c>
      <c r="T76" s="84">
        <f>直径材積計算!Y73</f>
        <v>0.87502885100555394</v>
      </c>
      <c r="V76" s="153">
        <v>81</v>
      </c>
    </row>
    <row r="77" spans="4:22">
      <c r="D77" s="48">
        <v>82</v>
      </c>
      <c r="E77" s="55">
        <f>IF(D77&lt;入力!$C$17,NA(),IF(D77&gt;入力!$H$48,NA(),D77))</f>
        <v>82</v>
      </c>
      <c r="F77" s="55">
        <f>IF(E77&gt;入力!$C$17,IF(Q76&gt;=P76,P77,(F76-L76)*(1-$B$27)),IF(E77=入力!$C$17,入力!$C$18,NA()))</f>
        <v>914.27422972484783</v>
      </c>
      <c r="G77" s="49">
        <f>'樹高計算 '!N75</f>
        <v>30.739008852816088</v>
      </c>
      <c r="H77" s="49">
        <f>直径材積計算!L74</f>
        <v>1148.9989471454599</v>
      </c>
      <c r="I77" s="49">
        <f>直径材積計算!I74</f>
        <v>33.453415005825867</v>
      </c>
      <c r="J77" s="84">
        <f t="shared" si="4"/>
        <v>1.2567333845680555</v>
      </c>
      <c r="K77" s="84">
        <f>ROUNDDOWN(直径材積計算!X74,2)</f>
        <v>0.87</v>
      </c>
      <c r="L77" s="55">
        <f t="shared" si="6"/>
        <v>0</v>
      </c>
      <c r="M77" s="62" t="e">
        <f>VLOOKUP(E77,入力!$H$38:$I$47,2,FALSE)</f>
        <v>#N/A</v>
      </c>
      <c r="N77" s="62">
        <f t="shared" si="5"/>
        <v>0</v>
      </c>
      <c r="O77" s="49">
        <f>直径材積計算!U74</f>
        <v>0</v>
      </c>
      <c r="P77" s="55">
        <f>直径材積計算!K190</f>
        <v>1667.5780580967696</v>
      </c>
      <c r="Q77" s="204">
        <f>直径材積計算!N74</f>
        <v>914.27422972484783</v>
      </c>
      <c r="R77" s="49">
        <f>直径材積計算!T74</f>
        <v>1148.9989471454599</v>
      </c>
      <c r="S77" s="49">
        <f>直径材積計算!S74</f>
        <v>33.453415005825867</v>
      </c>
      <c r="T77" s="84">
        <f>直径材積計算!Y74</f>
        <v>0.87651627975332069</v>
      </c>
      <c r="V77" s="153">
        <v>82</v>
      </c>
    </row>
    <row r="78" spans="4:22">
      <c r="D78" s="48">
        <v>83</v>
      </c>
      <c r="E78" s="55">
        <f>IF(D78&lt;入力!$C$17,NA(),IF(D78&gt;入力!$H$48,NA(),D78))</f>
        <v>83</v>
      </c>
      <c r="F78" s="55">
        <f>IF(E78&gt;入力!$C$17,IF(Q77&gt;=P77,P78,(F77-L77)*(1-$B$27)),IF(E78=入力!$C$17,入力!$C$18,NA()))</f>
        <v>914.27422972484783</v>
      </c>
      <c r="G78" s="49">
        <f>'樹高計算 '!N76</f>
        <v>30.846733427152206</v>
      </c>
      <c r="H78" s="49">
        <f>直径材積計算!L75</f>
        <v>1156.1618710350629</v>
      </c>
      <c r="I78" s="49">
        <f>直径材積計算!I75</f>
        <v>33.501283021197061</v>
      </c>
      <c r="J78" s="84">
        <f t="shared" si="4"/>
        <v>1.2645679309839144</v>
      </c>
      <c r="K78" s="84">
        <f>ROUNDDOWN(直径材積計算!X75,2)</f>
        <v>0.87</v>
      </c>
      <c r="L78" s="55">
        <f t="shared" si="6"/>
        <v>0</v>
      </c>
      <c r="M78" s="62" t="e">
        <f>VLOOKUP(E78,入力!$H$38:$I$47,2,FALSE)</f>
        <v>#N/A</v>
      </c>
      <c r="N78" s="62">
        <f t="shared" si="5"/>
        <v>0</v>
      </c>
      <c r="O78" s="49">
        <f>直径材積計算!U75</f>
        <v>0</v>
      </c>
      <c r="P78" s="55">
        <f>直径材積計算!K191</f>
        <v>1664.6084426556456</v>
      </c>
      <c r="Q78" s="204">
        <f>直径材積計算!N75</f>
        <v>914.27422972484783</v>
      </c>
      <c r="R78" s="49">
        <f>直径材積計算!T75</f>
        <v>1156.1618710350629</v>
      </c>
      <c r="S78" s="49">
        <f>直径材積計算!S75</f>
        <v>33.501283021197061</v>
      </c>
      <c r="T78" s="84">
        <f>直径材積計算!Y75</f>
        <v>0.87795685845783789</v>
      </c>
      <c r="V78" s="153">
        <v>83</v>
      </c>
    </row>
    <row r="79" spans="4:22">
      <c r="D79" s="48">
        <v>84</v>
      </c>
      <c r="E79" s="55">
        <f>IF(D79&lt;入力!$C$17,NA(),IF(D79&gt;入力!$H$48,NA(),D79))</f>
        <v>84</v>
      </c>
      <c r="F79" s="55">
        <f>IF(E79&gt;入力!$C$17,IF(Q78&gt;=P78,P79,(F78-L78)*(1-$B$27)),IF(E79=入力!$C$17,入力!$C$18,NA()))</f>
        <v>914.27422972484783</v>
      </c>
      <c r="G79" s="49">
        <f>'樹高計算 '!N77</f>
        <v>30.951588530301056</v>
      </c>
      <c r="H79" s="49">
        <f>直径材積計算!L76</f>
        <v>1163.1470741752223</v>
      </c>
      <c r="I79" s="49">
        <f>直径材積計算!I76</f>
        <v>33.547683469047776</v>
      </c>
      <c r="J79" s="84">
        <f t="shared" si="4"/>
        <v>1.2722080928883592</v>
      </c>
      <c r="K79" s="84">
        <f>ROUNDDOWN(直径材積計算!X76,2)</f>
        <v>0.87</v>
      </c>
      <c r="L79" s="55">
        <f t="shared" si="6"/>
        <v>0</v>
      </c>
      <c r="M79" s="62" t="e">
        <f>VLOOKUP(E79,入力!$H$38:$I$47,2,FALSE)</f>
        <v>#N/A</v>
      </c>
      <c r="N79" s="62">
        <f t="shared" si="5"/>
        <v>0</v>
      </c>
      <c r="O79" s="49">
        <f>直径材積計算!U76</f>
        <v>0</v>
      </c>
      <c r="P79" s="55">
        <f>直径材積計算!K192</f>
        <v>1661.7244542837959</v>
      </c>
      <c r="Q79" s="204">
        <f>直径材積計算!N76</f>
        <v>914.27422972484783</v>
      </c>
      <c r="R79" s="49">
        <f>直径材積計算!T76</f>
        <v>1163.1470741752223</v>
      </c>
      <c r="S79" s="49">
        <f>直径材積計算!S76</f>
        <v>33.547683469047776</v>
      </c>
      <c r="T79" s="84">
        <f>直径材積計算!Y76</f>
        <v>0.87935226897842533</v>
      </c>
      <c r="V79" s="153">
        <v>84</v>
      </c>
    </row>
    <row r="80" spans="4:22">
      <c r="D80" s="48">
        <v>85</v>
      </c>
      <c r="E80" s="55">
        <f>IF(D80&lt;入力!$C$17,NA(),IF(D80&gt;入力!$H$48,NA(),D80))</f>
        <v>85</v>
      </c>
      <c r="F80" s="55">
        <f>IF(E80&gt;入力!$C$17,IF(Q79&gt;=P79,P80,(F79-L79)*(1-$B$27)),IF(E80=入力!$C$17,入力!$C$18,NA()))</f>
        <v>914.27422972484783</v>
      </c>
      <c r="G80" s="49">
        <f>'樹高計算 '!N78</f>
        <v>31.053651329577239</v>
      </c>
      <c r="H80" s="49">
        <f>直径材積計算!L77</f>
        <v>1169.9586042453445</v>
      </c>
      <c r="I80" s="49">
        <f>直径材積計算!I77</f>
        <v>33.592667046640045</v>
      </c>
      <c r="J80" s="84">
        <f t="shared" si="4"/>
        <v>1.279658297486352</v>
      </c>
      <c r="K80" s="84">
        <f>ROUNDDOWN(直径材積計算!X77,2)</f>
        <v>0.88</v>
      </c>
      <c r="L80" s="55">
        <f t="shared" si="6"/>
        <v>0</v>
      </c>
      <c r="M80" s="62" t="e">
        <f>VLOOKUP(E80,入力!$H$38:$I$47,2,FALSE)</f>
        <v>#N/A</v>
      </c>
      <c r="N80" s="62">
        <f t="shared" si="5"/>
        <v>0</v>
      </c>
      <c r="O80" s="49">
        <f>直径材積計算!U77</f>
        <v>0</v>
      </c>
      <c r="P80" s="55">
        <f>直径材積計算!K193</f>
        <v>1658.9234461350231</v>
      </c>
      <c r="Q80" s="204">
        <f>直径材積計算!N77</f>
        <v>914.27422972484783</v>
      </c>
      <c r="R80" s="49">
        <f>直径材積計算!T77</f>
        <v>1169.9586042453445</v>
      </c>
      <c r="S80" s="49">
        <f>直径材積計算!S77</f>
        <v>33.592667046640045</v>
      </c>
      <c r="T80" s="84">
        <f>直径材積計算!Y77</f>
        <v>0.88070412117081454</v>
      </c>
      <c r="V80" s="153">
        <v>85</v>
      </c>
    </row>
    <row r="81" spans="4:22">
      <c r="D81" s="48">
        <v>86</v>
      </c>
      <c r="E81" s="55">
        <f>IF(D81&lt;入力!$C$17,NA(),IF(D81&gt;入力!$H$48,NA(),D81))</f>
        <v>86</v>
      </c>
      <c r="F81" s="55">
        <f>IF(E81&gt;入力!$C$17,IF(Q80&gt;=P80,P81,(F80-L80)*(1-$B$27)),IF(E81=入力!$C$17,入力!$C$18,NA()))</f>
        <v>914.27422972484783</v>
      </c>
      <c r="G81" s="49">
        <f>'樹高計算 '!N79</f>
        <v>31.152996859692191</v>
      </c>
      <c r="H81" s="49">
        <f>直径材積計算!L78</f>
        <v>1176.6004389405396</v>
      </c>
      <c r="I81" s="49">
        <f>直径材積計算!I78</f>
        <v>33.636282369563631</v>
      </c>
      <c r="J81" s="84">
        <f t="shared" si="4"/>
        <v>1.2869228954365686</v>
      </c>
      <c r="K81" s="84">
        <f>ROUNDDOWN(直径材積計算!X78,2)</f>
        <v>0.88</v>
      </c>
      <c r="L81" s="55">
        <f t="shared" si="6"/>
        <v>0</v>
      </c>
      <c r="M81" s="62" t="e">
        <f>VLOOKUP(E81,入力!$H$38:$I$47,2,FALSE)</f>
        <v>#N/A</v>
      </c>
      <c r="N81" s="62">
        <f t="shared" si="5"/>
        <v>0</v>
      </c>
      <c r="O81" s="49">
        <f>直径材積計算!U78</f>
        <v>0</v>
      </c>
      <c r="P81" s="55">
        <f>直径材積計算!K194</f>
        <v>1656.2028623451035</v>
      </c>
      <c r="Q81" s="204">
        <f>直径材積計算!N78</f>
        <v>914.27422972484783</v>
      </c>
      <c r="R81" s="49">
        <f>直径材積計算!T78</f>
        <v>1176.6004389405396</v>
      </c>
      <c r="S81" s="49">
        <f>直径材積計算!S78</f>
        <v>33.636282369563631</v>
      </c>
      <c r="T81" s="84">
        <f>直径材積計算!Y78</f>
        <v>0.88201395660044746</v>
      </c>
      <c r="V81" s="153">
        <v>86</v>
      </c>
    </row>
    <row r="82" spans="4:22">
      <c r="D82" s="48">
        <v>87</v>
      </c>
      <c r="E82" s="55">
        <f>IF(D82&lt;入力!$C$17,NA(),IF(D82&gt;入力!$H$48,NA(),D82))</f>
        <v>87</v>
      </c>
      <c r="F82" s="55">
        <f>IF(E82&gt;入力!$C$17,IF(Q81&gt;=P81,P82,(F81-L81)*(1-$B$27)),IF(E82=入力!$C$17,入力!$C$18,NA()))</f>
        <v>914.27422972484783</v>
      </c>
      <c r="G82" s="49">
        <f>'樹高計算 '!N80</f>
        <v>31.249698085070811</v>
      </c>
      <c r="H82" s="49">
        <f>直径材積計算!L79</f>
        <v>1183.0764855488394</v>
      </c>
      <c r="I82" s="49">
        <f>直径材積計算!I79</f>
        <v>33.678576075772334</v>
      </c>
      <c r="J82" s="84">
        <f t="shared" si="4"/>
        <v>1.2940061603889765</v>
      </c>
      <c r="K82" s="84">
        <f>ROUNDDOWN(直径材積計算!X79,2)</f>
        <v>0.88</v>
      </c>
      <c r="L82" s="55">
        <f t="shared" si="6"/>
        <v>0</v>
      </c>
      <c r="M82" s="62" t="e">
        <f>VLOOKUP(E82,入力!$H$38:$I$47,2,FALSE)</f>
        <v>#N/A</v>
      </c>
      <c r="N82" s="62">
        <f t="shared" si="5"/>
        <v>0</v>
      </c>
      <c r="O82" s="49">
        <f>直径材積計算!U79</f>
        <v>0</v>
      </c>
      <c r="P82" s="55">
        <f>直径材積計算!K195</f>
        <v>1653.5602344904505</v>
      </c>
      <c r="Q82" s="204">
        <f>直径材積計算!N79</f>
        <v>914.27422972484783</v>
      </c>
      <c r="R82" s="49">
        <f>直径材積計算!T79</f>
        <v>1183.0764855488394</v>
      </c>
      <c r="S82" s="49">
        <f>直径材積計算!S79</f>
        <v>33.678576075772334</v>
      </c>
      <c r="T82" s="84">
        <f>直径材積計算!Y79</f>
        <v>0.88328325203205171</v>
      </c>
      <c r="V82" s="153">
        <v>87</v>
      </c>
    </row>
    <row r="83" spans="4:22">
      <c r="D83" s="48">
        <v>88</v>
      </c>
      <c r="E83" s="55">
        <f>IF(D83&lt;入力!$C$17,NA(),IF(D83&gt;入力!$H$48,NA(),D83))</f>
        <v>88</v>
      </c>
      <c r="F83" s="55">
        <f>IF(E83&gt;入力!$C$17,IF(Q82&gt;=P82,P83,(F82-L82)*(1-$B$27)),IF(E83=入力!$C$17,入力!$C$18,NA()))</f>
        <v>914.27422972484783</v>
      </c>
      <c r="G83" s="49">
        <f>'樹高計算 '!N81</f>
        <v>31.34382596027713</v>
      </c>
      <c r="H83" s="49">
        <f>直径材積計算!L80</f>
        <v>1189.3905807000701</v>
      </c>
      <c r="I83" s="49">
        <f>直径材積計算!I80</f>
        <v>33.719592923435386</v>
      </c>
      <c r="J83" s="84">
        <f t="shared" si="4"/>
        <v>1.3009122887101596</v>
      </c>
      <c r="K83" s="84">
        <f>ROUNDDOWN(直径材積計算!X80,2)</f>
        <v>0.88</v>
      </c>
      <c r="L83" s="55">
        <f t="shared" si="6"/>
        <v>0</v>
      </c>
      <c r="M83" s="62" t="e">
        <f>VLOOKUP(E83,入力!$H$38:$I$47,2,FALSE)</f>
        <v>#N/A</v>
      </c>
      <c r="N83" s="62">
        <f t="shared" si="5"/>
        <v>0</v>
      </c>
      <c r="O83" s="49">
        <f>直径材積計算!U80</f>
        <v>0</v>
      </c>
      <c r="P83" s="55">
        <f>直径材積計算!K196</f>
        <v>1650.9931781960893</v>
      </c>
      <c r="Q83" s="204">
        <f>直径材積計算!N80</f>
        <v>914.27422972484783</v>
      </c>
      <c r="R83" s="49">
        <f>直径材積計算!T80</f>
        <v>1189.3905807000701</v>
      </c>
      <c r="S83" s="49">
        <f>直径材積計算!S80</f>
        <v>33.719592923435386</v>
      </c>
      <c r="T83" s="84">
        <f>直径材積計算!Y80</f>
        <v>0.88451342271049904</v>
      </c>
      <c r="V83" s="153">
        <v>88</v>
      </c>
    </row>
    <row r="84" spans="4:22">
      <c r="D84" s="48">
        <v>89</v>
      </c>
      <c r="E84" s="55">
        <f>IF(D84&lt;入力!$C$17,NA(),IF(D84&gt;入力!$H$48,NA(),D84))</f>
        <v>89</v>
      </c>
      <c r="F84" s="55">
        <f>IF(E84&gt;入力!$C$17,IF(Q83&gt;=P83,P84,(F83-L83)*(1-$B$27)),IF(E84=入力!$C$17,入力!$C$18,NA()))</f>
        <v>914.27422972484783</v>
      </c>
      <c r="G84" s="49">
        <f>'樹高計算 '!N82</f>
        <v>31.435449488585853</v>
      </c>
      <c r="H84" s="49">
        <f>直径材積計算!L81</f>
        <v>1195.5464902683739</v>
      </c>
      <c r="I84" s="49">
        <f>直径材積計算!I81</f>
        <v>33.759375883020674</v>
      </c>
      <c r="J84" s="84">
        <f t="shared" si="4"/>
        <v>1.3076453993767005</v>
      </c>
      <c r="K84" s="84">
        <f>ROUNDDOWN(直径材積計算!X81,2)</f>
        <v>0.88</v>
      </c>
      <c r="L84" s="55">
        <f t="shared" si="6"/>
        <v>0</v>
      </c>
      <c r="M84" s="62" t="e">
        <f>VLOOKUP(E84,入力!$H$38:$I$47,2,FALSE)</f>
        <v>#N/A</v>
      </c>
      <c r="N84" s="62">
        <f t="shared" si="5"/>
        <v>0</v>
      </c>
      <c r="O84" s="49">
        <f>直径材積計算!U81</f>
        <v>0</v>
      </c>
      <c r="P84" s="55">
        <f>直径材積計算!K197</f>
        <v>1648.4993898873015</v>
      </c>
      <c r="Q84" s="204">
        <f>直径材積計算!N81</f>
        <v>914.27422972484783</v>
      </c>
      <c r="R84" s="49">
        <f>直径材積計算!T81</f>
        <v>1195.5464902683739</v>
      </c>
      <c r="S84" s="49">
        <f>直径材積計算!S81</f>
        <v>33.759375883020674</v>
      </c>
      <c r="T84" s="84">
        <f>直径材積計算!Y81</f>
        <v>0.88570582544689003</v>
      </c>
      <c r="V84" s="153">
        <v>89</v>
      </c>
    </row>
    <row r="85" spans="4:22">
      <c r="D85" s="48">
        <v>90</v>
      </c>
      <c r="E85" s="55">
        <f>IF(D85&lt;入力!$C$17,NA(),IF(D85&gt;入力!$H$48,NA(),D85))</f>
        <v>90</v>
      </c>
      <c r="F85" s="55">
        <f>IF(E85&gt;入力!$C$17,IF(Q84&gt;=P84,P85,(F84-L84)*(1-$B$27)),IF(E85=入力!$C$17,入力!$C$18,NA()))</f>
        <v>914.27422972484783</v>
      </c>
      <c r="G85" s="49">
        <f>'樹高計算 '!N83</f>
        <v>31.52463577874099</v>
      </c>
      <c r="H85" s="49">
        <f>直径材積計算!L82</f>
        <v>1201.5479094121258</v>
      </c>
      <c r="I85" s="49">
        <f>直径材積計算!I82</f>
        <v>33.797966223996639</v>
      </c>
      <c r="J85" s="84">
        <f t="shared" si="4"/>
        <v>1.3142095340188396</v>
      </c>
      <c r="K85" s="84">
        <f>ROUNDDOWN(直径材積計算!X82,2)</f>
        <v>0.88</v>
      </c>
      <c r="L85" s="55">
        <f t="shared" si="6"/>
        <v>0</v>
      </c>
      <c r="M85" s="62" t="e">
        <f>VLOOKUP(E85,入力!$H$38:$I$47,2,FALSE)</f>
        <v>#N/A</v>
      </c>
      <c r="N85" s="62">
        <f t="shared" si="5"/>
        <v>0</v>
      </c>
      <c r="O85" s="49">
        <f>直径材積計算!U82</f>
        <v>0</v>
      </c>
      <c r="P85" s="55">
        <f>直径材積計算!K198</f>
        <v>1646.0766436793454</v>
      </c>
      <c r="Q85" s="204">
        <f>直径材積計算!N82</f>
        <v>914.27422972484783</v>
      </c>
      <c r="R85" s="49">
        <f>直径材積計算!T82</f>
        <v>1201.5479094121258</v>
      </c>
      <c r="S85" s="49">
        <f>直径材積計算!S82</f>
        <v>33.797966223996639</v>
      </c>
      <c r="T85" s="84">
        <f>直径材積計算!Y82</f>
        <v>0.88686176152281748</v>
      </c>
      <c r="V85" s="153">
        <v>90</v>
      </c>
    </row>
    <row r="86" spans="4:22">
      <c r="D86" s="48">
        <v>91</v>
      </c>
      <c r="E86" s="55">
        <f>IF(D86&lt;入力!$C$17,NA(),IF(D86&gt;入力!$H$48,NA(),D86))</f>
        <v>91</v>
      </c>
      <c r="F86" s="55">
        <f>IF(E86&gt;入力!$C$17,IF(Q85&gt;=P85,P86,(F85-L85)*(1-$B$27)),IF(E86=入力!$C$17,入力!$C$18,NA()))</f>
        <v>914.27422972484783</v>
      </c>
      <c r="G86" s="49">
        <f>'樹高計算 '!N84</f>
        <v>31.611450099945927</v>
      </c>
      <c r="H86" s="49">
        <f>直径材積計算!L83</f>
        <v>1207.3984627366106</v>
      </c>
      <c r="I86" s="49">
        <f>直径材積計算!I83</f>
        <v>33.835403596511092</v>
      </c>
      <c r="J86" s="84">
        <f t="shared" si="4"/>
        <v>1.3206086570984057</v>
      </c>
      <c r="K86" s="84">
        <f>ROUNDDOWN(直径材積計算!X83,2)</f>
        <v>0.88</v>
      </c>
      <c r="L86" s="55">
        <f t="shared" si="6"/>
        <v>0</v>
      </c>
      <c r="M86" s="62" t="e">
        <f>VLOOKUP(E86,入力!$H$38:$I$47,2,FALSE)</f>
        <v>#N/A</v>
      </c>
      <c r="N86" s="62">
        <f t="shared" si="5"/>
        <v>0</v>
      </c>
      <c r="O86" s="49">
        <f>直径材積計算!U83</f>
        <v>0</v>
      </c>
      <c r="P86" s="55">
        <f>直径材積計算!K199</f>
        <v>1643.722788399692</v>
      </c>
      <c r="Q86" s="204">
        <f>直径材積計算!N83</f>
        <v>914.27422972484783</v>
      </c>
      <c r="R86" s="49">
        <f>直径材積計算!T83</f>
        <v>1207.3984627366106</v>
      </c>
      <c r="S86" s="49">
        <f>直径材積計算!S83</f>
        <v>33.835403596511092</v>
      </c>
      <c r="T86" s="84">
        <f>直径材積計算!Y83</f>
        <v>0.88798247942484099</v>
      </c>
      <c r="V86" s="153">
        <v>91</v>
      </c>
    </row>
    <row r="87" spans="4:22">
      <c r="D87" s="48">
        <v>92</v>
      </c>
      <c r="E87" s="55">
        <f>IF(D87&lt;入力!$C$17,NA(),IF(D87&gt;入力!$H$48,NA(),D87))</f>
        <v>92</v>
      </c>
      <c r="F87" s="55">
        <f>IF(E87&gt;入力!$C$17,IF(Q86&gt;=P86,P87,(F86-L86)*(1-$B$27)),IF(E87=入力!$C$17,入力!$C$18,NA()))</f>
        <v>914.27422972484783</v>
      </c>
      <c r="G87" s="49">
        <f>'樹高計算 '!N85</f>
        <v>31.695955935131838</v>
      </c>
      <c r="H87" s="49">
        <f>直径材積計算!L84</f>
        <v>1213.101704566252</v>
      </c>
      <c r="I87" s="49">
        <f>直径材積計算!I84</f>
        <v>33.871726108379306</v>
      </c>
      <c r="J87" s="84">
        <f t="shared" si="4"/>
        <v>1.3268466562065702</v>
      </c>
      <c r="K87" s="84">
        <f>ROUNDDOWN(直径材積計算!X84,2)</f>
        <v>0.88</v>
      </c>
      <c r="L87" s="55">
        <f t="shared" si="6"/>
        <v>0</v>
      </c>
      <c r="M87" s="62" t="e">
        <f>VLOOKUP(E87,入力!$H$38:$I$47,2,FALSE)</f>
        <v>#N/A</v>
      </c>
      <c r="N87" s="62">
        <f t="shared" si="5"/>
        <v>0</v>
      </c>
      <c r="O87" s="49">
        <f>直径材積計算!U84</f>
        <v>0</v>
      </c>
      <c r="P87" s="55">
        <f>直径材積計算!K200</f>
        <v>1641.4357447373015</v>
      </c>
      <c r="Q87" s="204">
        <f>直径材積計算!N84</f>
        <v>914.27422972484783</v>
      </c>
      <c r="R87" s="49">
        <f>直径材積計算!T84</f>
        <v>1213.101704566252</v>
      </c>
      <c r="S87" s="49">
        <f>直径材積計算!S84</f>
        <v>33.871726108379306</v>
      </c>
      <c r="T87" s="84">
        <f>直径材積計算!Y84</f>
        <v>0.88906917742034242</v>
      </c>
      <c r="V87" s="153">
        <v>92</v>
      </c>
    </row>
    <row r="88" spans="4:22">
      <c r="D88" s="48">
        <v>93</v>
      </c>
      <c r="E88" s="55">
        <f>IF(D88&lt;入力!$C$17,NA(),IF(D88&gt;入力!$H$48,NA(),D88))</f>
        <v>93</v>
      </c>
      <c r="F88" s="55">
        <f>IF(E88&gt;入力!$C$17,IF(Q87&gt;=P87,P88,(F87-L87)*(1-$B$27)),IF(E88=入力!$C$17,入力!$C$18,NA()))</f>
        <v>914.27422972484783</v>
      </c>
      <c r="G88" s="49">
        <f>'樹高計算 '!N86</f>
        <v>31.778215032552865</v>
      </c>
      <c r="H88" s="49">
        <f>直径材積計算!L85</f>
        <v>1218.6611193145111</v>
      </c>
      <c r="I88" s="49">
        <f>直径材積計算!I85</f>
        <v>33.906970397690166</v>
      </c>
      <c r="J88" s="84">
        <f t="shared" si="4"/>
        <v>1.3329273424684287</v>
      </c>
      <c r="K88" s="84">
        <f>ROUNDDOWN(直径材積計算!X85,2)</f>
        <v>0.89</v>
      </c>
      <c r="L88" s="55">
        <f t="shared" si="6"/>
        <v>0</v>
      </c>
      <c r="M88" s="62" t="e">
        <f>VLOOKUP(E88,入力!$H$38:$I$47,2,FALSE)</f>
        <v>#N/A</v>
      </c>
      <c r="N88" s="62">
        <f t="shared" si="5"/>
        <v>0</v>
      </c>
      <c r="O88" s="49">
        <f>直径材積計算!U85</f>
        <v>0</v>
      </c>
      <c r="P88" s="55">
        <f>直径材積計算!K201</f>
        <v>1639.213502513576</v>
      </c>
      <c r="Q88" s="204">
        <f>直径材積計算!N85</f>
        <v>914.27422972484783</v>
      </c>
      <c r="R88" s="49">
        <f>直径材積計算!T85</f>
        <v>1218.6611193145111</v>
      </c>
      <c r="S88" s="49">
        <f>直径材積計算!S85</f>
        <v>33.906970397690166</v>
      </c>
      <c r="T88" s="84">
        <f>直径材積計算!Y85</f>
        <v>0.89012300598515537</v>
      </c>
      <c r="V88" s="153">
        <v>93</v>
      </c>
    </row>
    <row r="89" spans="4:22">
      <c r="D89" s="48">
        <v>94</v>
      </c>
      <c r="E89" s="55">
        <f>IF(D89&lt;入力!$C$17,NA(),IF(D89&gt;入力!$H$48,NA(),D89))</f>
        <v>94</v>
      </c>
      <c r="F89" s="55">
        <f>IF(E89&gt;入力!$C$17,IF(Q88&gt;=P88,P89,(F88-L88)*(1-$B$27)),IF(E89=入力!$C$17,入力!$C$18,NA()))</f>
        <v>914.27422972484783</v>
      </c>
      <c r="G89" s="49">
        <f>'樹高計算 '!N87</f>
        <v>31.858287455757491</v>
      </c>
      <c r="H89" s="49">
        <f>直径材積計算!L86</f>
        <v>1224.0801219406676</v>
      </c>
      <c r="I89" s="49">
        <f>直径材積計算!I86</f>
        <v>33.9411717013163</v>
      </c>
      <c r="J89" s="84">
        <f t="shared" si="4"/>
        <v>1.3388544510426115</v>
      </c>
      <c r="K89" s="84">
        <f>ROUNDDOWN(直径材積計算!X86,2)</f>
        <v>0.89</v>
      </c>
      <c r="L89" s="55">
        <f t="shared" si="6"/>
        <v>0</v>
      </c>
      <c r="M89" s="62" t="e">
        <f>VLOOKUP(E89,入力!$H$38:$I$47,2,FALSE)</f>
        <v>#N/A</v>
      </c>
      <c r="N89" s="62">
        <f t="shared" si="5"/>
        <v>0</v>
      </c>
      <c r="O89" s="49">
        <f>直径材積計算!U86</f>
        <v>0</v>
      </c>
      <c r="P89" s="55">
        <f>直径材積計算!K202</f>
        <v>1637.0541180697639</v>
      </c>
      <c r="Q89" s="204">
        <f>直径材積計算!N86</f>
        <v>914.27422972484783</v>
      </c>
      <c r="R89" s="49">
        <f>直径材積計算!T86</f>
        <v>1224.0801219406676</v>
      </c>
      <c r="S89" s="49">
        <f>直径材積計算!S86</f>
        <v>33.9411717013163</v>
      </c>
      <c r="T89" s="84">
        <f>直径材積計算!Y86</f>
        <v>0.89114507009261501</v>
      </c>
      <c r="V89" s="153">
        <v>94</v>
      </c>
    </row>
    <row r="90" spans="4:22">
      <c r="D90" s="48">
        <v>95</v>
      </c>
      <c r="E90" s="55">
        <f>IF(D90&lt;入力!$C$17,NA(),IF(D90&gt;入力!$H$48,NA(),D90))</f>
        <v>95</v>
      </c>
      <c r="F90" s="55">
        <f>IF(E90&gt;入力!$C$17,IF(Q89&gt;=P89,P90,(F89-L89)*(1-$B$27)),IF(E90=入力!$C$17,入力!$C$18,NA()))</f>
        <v>914.27422972484783</v>
      </c>
      <c r="G90" s="49">
        <f>'樹高計算 '!N88</f>
        <v>31.936231631986093</v>
      </c>
      <c r="H90" s="49">
        <f>直径材積計算!L87</f>
        <v>1229.3620584838163</v>
      </c>
      <c r="I90" s="49">
        <f>直径材積計算!I87</f>
        <v>33.974363919594246</v>
      </c>
      <c r="J90" s="84">
        <f t="shared" si="4"/>
        <v>1.3446316417053499</v>
      </c>
      <c r="K90" s="84">
        <f>ROUNDDOWN(直径材積計算!X87,2)</f>
        <v>0.89</v>
      </c>
      <c r="L90" s="55">
        <f t="shared" si="6"/>
        <v>0</v>
      </c>
      <c r="M90" s="62" t="e">
        <f>VLOOKUP(E90,入力!$H$38:$I$47,2,FALSE)</f>
        <v>#N/A</v>
      </c>
      <c r="N90" s="62">
        <f t="shared" si="5"/>
        <v>0</v>
      </c>
      <c r="O90" s="49">
        <f>直径材積計算!U87</f>
        <v>0</v>
      </c>
      <c r="P90" s="55">
        <f>直径材積計算!K203</f>
        <v>1634.9557117657275</v>
      </c>
      <c r="Q90" s="204">
        <f>直径材積計算!N87</f>
        <v>914.27422972484783</v>
      </c>
      <c r="R90" s="49">
        <f>直径材積計算!T87</f>
        <v>1229.3620584838163</v>
      </c>
      <c r="S90" s="49">
        <f>直径材積計算!S87</f>
        <v>33.974363919594246</v>
      </c>
      <c r="T90" s="84">
        <f>直径材積計算!Y87</f>
        <v>0.89213643137299803</v>
      </c>
      <c r="V90" s="153">
        <v>95</v>
      </c>
    </row>
    <row r="91" spans="4:22">
      <c r="D91" s="48">
        <v>96</v>
      </c>
      <c r="E91" s="55">
        <f>IF(D91&lt;入力!$C$17,NA(),IF(D91&gt;入力!$H$48,NA(),D91))</f>
        <v>96</v>
      </c>
      <c r="F91" s="55">
        <f>IF(E91&gt;入力!$C$17,IF(Q90&gt;=P90,P91,(F90-L90)*(1-$B$27)),IF(E91=入力!$C$17,入力!$C$18,NA()))</f>
        <v>914.27422972484783</v>
      </c>
      <c r="G91" s="49">
        <f>'樹高計算 '!N89</f>
        <v>32.012104399044432</v>
      </c>
      <c r="H91" s="49">
        <f>直径材積計算!L88</f>
        <v>1234.5102066652635</v>
      </c>
      <c r="I91" s="49">
        <f>直径材積計算!I88</f>
        <v>34.006579677421342</v>
      </c>
      <c r="J91" s="84">
        <f t="shared" si="4"/>
        <v>1.3502624995093553</v>
      </c>
      <c r="K91" s="84">
        <f>ROUNDDOWN(直径材積計算!X88,2)</f>
        <v>0.89</v>
      </c>
      <c r="L91" s="55">
        <f t="shared" si="6"/>
        <v>0</v>
      </c>
      <c r="M91" s="62" t="e">
        <f>VLOOKUP(E91,入力!$H$38:$I$47,2,FALSE)</f>
        <v>#N/A</v>
      </c>
      <c r="N91" s="62">
        <f t="shared" si="5"/>
        <v>0</v>
      </c>
      <c r="O91" s="49">
        <f>直径材積計算!U88</f>
        <v>0</v>
      </c>
      <c r="P91" s="55">
        <f>直径材積計算!K204</f>
        <v>1632.9164655851594</v>
      </c>
      <c r="Q91" s="204">
        <f>直径材積計算!N88</f>
        <v>914.27422972484783</v>
      </c>
      <c r="R91" s="49">
        <f>直径材積計算!T88</f>
        <v>1234.5102066652635</v>
      </c>
      <c r="S91" s="49">
        <f>直径材積計算!S88</f>
        <v>34.006579677421342</v>
      </c>
      <c r="T91" s="84">
        <f>直径材積計算!Y88</f>
        <v>0.89309811015169294</v>
      </c>
      <c r="V91" s="153">
        <v>96</v>
      </c>
    </row>
    <row r="92" spans="4:22">
      <c r="D92" s="48">
        <v>97</v>
      </c>
      <c r="E92" s="55">
        <f>IF(D92&lt;入力!$C$17,NA(),IF(D92&gt;入力!$H$48,NA(),D92))</f>
        <v>97</v>
      </c>
      <c r="F92" s="55">
        <f>IF(E92&gt;入力!$C$17,IF(Q91&gt;=P91,P92,(F91-L91)*(1-$B$27)),IF(E92=入力!$C$17,入力!$C$18,NA()))</f>
        <v>914.27422972484783</v>
      </c>
      <c r="G92" s="49">
        <f>'樹高計算 '!N90</f>
        <v>32.085961050702814</v>
      </c>
      <c r="H92" s="49">
        <f>直径材積計算!L89</f>
        <v>1239.5277765514074</v>
      </c>
      <c r="I92" s="49">
        <f>直径材積計算!I89</f>
        <v>34.037850381998581</v>
      </c>
      <c r="J92" s="84">
        <f t="shared" si="4"/>
        <v>1.3557505355088539</v>
      </c>
      <c r="K92" s="84">
        <f>ROUNDDOWN(直径材積計算!X89,2)</f>
        <v>0.89</v>
      </c>
      <c r="L92" s="55">
        <f t="shared" si="6"/>
        <v>0</v>
      </c>
      <c r="M92" s="62" t="e">
        <f>VLOOKUP(E92,入力!$H$38:$I$47,2,FALSE)</f>
        <v>#N/A</v>
      </c>
      <c r="N92" s="62">
        <f t="shared" si="5"/>
        <v>0</v>
      </c>
      <c r="O92" s="49">
        <f>直径材積計算!U89</f>
        <v>0</v>
      </c>
      <c r="P92" s="55">
        <f>直径材積計算!K205</f>
        <v>1630.9346208424913</v>
      </c>
      <c r="Q92" s="204">
        <f>直径材積計算!N89</f>
        <v>914.27422972484783</v>
      </c>
      <c r="R92" s="49">
        <f>直径材積計算!T89</f>
        <v>1239.5277765514074</v>
      </c>
      <c r="S92" s="49">
        <f>直径材積計算!S89</f>
        <v>34.037850381998581</v>
      </c>
      <c r="T92" s="84">
        <f>直径材積計算!Y89</f>
        <v>0.89403108737385673</v>
      </c>
      <c r="V92" s="153">
        <v>97</v>
      </c>
    </row>
    <row r="93" spans="4:22">
      <c r="D93" s="48">
        <v>98</v>
      </c>
      <c r="E93" s="55">
        <f>IF(D93&lt;入力!$C$17,NA(),IF(D93&gt;入力!$H$48,NA(),D93))</f>
        <v>98</v>
      </c>
      <c r="F93" s="55">
        <f>IF(E93&gt;入力!$C$17,IF(Q92&gt;=P92,P93,(F92-L92)*(1-$B$27)),IF(E93=入力!$C$17,入力!$C$18,NA()))</f>
        <v>914.27422972484783</v>
      </c>
      <c r="G93" s="49">
        <f>'樹高計算 '!N91</f>
        <v>32.157855380669837</v>
      </c>
      <c r="H93" s="49">
        <f>直径材積計算!L90</f>
        <v>1244.4179112699132</v>
      </c>
      <c r="I93" s="49">
        <f>直径材積計算!I90</f>
        <v>34.068206277432594</v>
      </c>
      <c r="J93" s="84">
        <f t="shared" si="4"/>
        <v>1.3610991875429133</v>
      </c>
      <c r="K93" s="84">
        <f>ROUNDDOWN(直径材積計算!X90,2)</f>
        <v>0.89</v>
      </c>
      <c r="L93" s="55">
        <f t="shared" si="6"/>
        <v>0</v>
      </c>
      <c r="M93" s="62" t="e">
        <f>VLOOKUP(E93,入力!$H$38:$I$47,2,FALSE)</f>
        <v>#N/A</v>
      </c>
      <c r="N93" s="62">
        <f t="shared" si="5"/>
        <v>0</v>
      </c>
      <c r="O93" s="49">
        <f>直径材積計算!U90</f>
        <v>0</v>
      </c>
      <c r="P93" s="55">
        <f>直径材積計算!K206</f>
        <v>1629.0084759869121</v>
      </c>
      <c r="Q93" s="204">
        <f>直径材積計算!N90</f>
        <v>914.27422972484783</v>
      </c>
      <c r="R93" s="49">
        <f>直径材積計算!T90</f>
        <v>1244.4179112699132</v>
      </c>
      <c r="S93" s="49">
        <f>直径材積計算!S90</f>
        <v>34.068206277432594</v>
      </c>
      <c r="T93" s="84">
        <f>直径材積計算!Y90</f>
        <v>0.89493630642276578</v>
      </c>
      <c r="V93" s="153">
        <v>98</v>
      </c>
    </row>
    <row r="94" spans="4:22">
      <c r="D94" s="48">
        <v>99</v>
      </c>
      <c r="E94" s="55">
        <f>IF(D94&lt;入力!$C$17,NA(),IF(D94&gt;入力!$H$48,NA(),D94))</f>
        <v>99</v>
      </c>
      <c r="F94" s="55">
        <f>IF(E94&gt;入力!$C$17,IF(Q93&gt;=P93,P94,(F93-L93)*(1-$B$27)),IF(E94=入力!$C$17,入力!$C$18,NA()))</f>
        <v>914.27422972484783</v>
      </c>
      <c r="G94" s="49">
        <f>'樹高計算 '!N92</f>
        <v>32.227839725188701</v>
      </c>
      <c r="H94" s="49">
        <f>直径材積計算!L91</f>
        <v>1249.1836877726623</v>
      </c>
      <c r="I94" s="49">
        <f>直径材積計算!I91</f>
        <v>34.097676496394733</v>
      </c>
      <c r="J94" s="84">
        <f t="shared" si="4"/>
        <v>1.3663118210699279</v>
      </c>
      <c r="K94" s="84">
        <f>ROUNDDOWN(直径材積計算!X91,2)</f>
        <v>0.89</v>
      </c>
      <c r="L94" s="55">
        <f t="shared" si="6"/>
        <v>0</v>
      </c>
      <c r="M94" s="62" t="e">
        <f>VLOOKUP(E94,入力!$H$38:$I$47,2,FALSE)</f>
        <v>#N/A</v>
      </c>
      <c r="N94" s="62">
        <f t="shared" si="5"/>
        <v>0</v>
      </c>
      <c r="O94" s="49">
        <f>直径材積計算!U91</f>
        <v>0</v>
      </c>
      <c r="P94" s="55">
        <f>直径材積計算!K207</f>
        <v>1627.1363844991058</v>
      </c>
      <c r="Q94" s="204">
        <f>直径材積計算!N91</f>
        <v>914.27422972484783</v>
      </c>
      <c r="R94" s="49">
        <f>直径材積計算!T91</f>
        <v>1249.1836877726623</v>
      </c>
      <c r="S94" s="49">
        <f>直径材積計算!S91</f>
        <v>34.097676496394733</v>
      </c>
      <c r="T94" s="84">
        <f>直径材積計算!Y91</f>
        <v>0.89581467483857891</v>
      </c>
      <c r="V94" s="153">
        <v>99</v>
      </c>
    </row>
    <row r="95" spans="4:22">
      <c r="D95" s="48">
        <v>100</v>
      </c>
      <c r="E95" s="55">
        <f>IF(D95&lt;入力!$C$17,NA(),IF(D95&gt;入力!$H$48,NA(),D95))</f>
        <v>100</v>
      </c>
      <c r="F95" s="55">
        <f>IF(E95&gt;入力!$C$17,IF(Q94&gt;=P94,P95,(F94-L94)*(1-$B$27)),IF(E95=入力!$C$17,入力!$C$18,NA()))</f>
        <v>914.27422972484783</v>
      </c>
      <c r="G95" s="49">
        <f>'樹高計算 '!N93</f>
        <v>32.295965004303454</v>
      </c>
      <c r="H95" s="49">
        <f>直径材積計算!L92</f>
        <v>1253.8281176396088</v>
      </c>
      <c r="I95" s="49">
        <f>直径材積計算!I92</f>
        <v>34.126289109021592</v>
      </c>
      <c r="J95" s="84">
        <f t="shared" si="4"/>
        <v>1.3713917300468483</v>
      </c>
      <c r="K95" s="84">
        <f>ROUNDDOWN(直径材積計算!X92,2)</f>
        <v>0.89</v>
      </c>
      <c r="L95" s="55">
        <f t="shared" si="6"/>
        <v>0</v>
      </c>
      <c r="M95" s="62" t="e">
        <f>VLOOKUP(E95,入力!$H$38:$I$47,2,FALSE)</f>
        <v>#N/A</v>
      </c>
      <c r="N95" s="62">
        <f t="shared" si="5"/>
        <v>0</v>
      </c>
      <c r="O95" s="49">
        <f>直径材積計算!U92</f>
        <v>0</v>
      </c>
      <c r="P95" s="55">
        <f>直径材積計算!K208</f>
        <v>1625.3167528764632</v>
      </c>
      <c r="Q95" s="204">
        <f>直径材積計算!N92</f>
        <v>914.27422972484783</v>
      </c>
      <c r="R95" s="49">
        <f>直径材積計算!T92</f>
        <v>1253.8281176396088</v>
      </c>
      <c r="S95" s="49">
        <f>直径材積計算!S92</f>
        <v>34.126289109021592</v>
      </c>
      <c r="T95" s="84">
        <f>直径材積計算!Y92</f>
        <v>0.89666706594375056</v>
      </c>
      <c r="V95" s="153">
        <v>100</v>
      </c>
    </row>
    <row r="96" spans="4:22">
      <c r="D96" s="48">
        <v>101</v>
      </c>
      <c r="E96" s="55">
        <f>IF(D96&lt;入力!$C$17,NA(),IF(D96&gt;入力!$H$48,NA(),D96))</f>
        <v>101</v>
      </c>
      <c r="F96" s="55">
        <f>IF(E96&gt;入力!$C$17,IF(Q95&gt;=P95,P96,(F95-L95)*(1-$B$27)),IF(E96=入力!$C$17,入力!$C$18,NA()))</f>
        <v>914.27422972484783</v>
      </c>
      <c r="G96" s="49">
        <f>'樹高計算 '!N94</f>
        <v>32.362280761840779</v>
      </c>
      <c r="H96" s="49">
        <f>直径材積計算!L93</f>
        <v>1258.3541479181697</v>
      </c>
      <c r="I96" s="49">
        <f>直径材積計算!I93</f>
        <v>34.15407116922816</v>
      </c>
      <c r="J96" s="84">
        <f t="shared" si="4"/>
        <v>1.3763421378472771</v>
      </c>
      <c r="K96" s="84">
        <f>ROUNDDOWN(直径材積計算!X93,2)</f>
        <v>0.89</v>
      </c>
      <c r="L96" s="55">
        <f t="shared" si="6"/>
        <v>0</v>
      </c>
      <c r="M96" s="62" t="e">
        <f>VLOOKUP(E96,入力!$H$38:$I$47,2,FALSE)</f>
        <v>#N/A</v>
      </c>
      <c r="N96" s="62">
        <f t="shared" si="5"/>
        <v>0</v>
      </c>
      <c r="O96" s="49">
        <f>直径材積計算!U93</f>
        <v>0</v>
      </c>
      <c r="P96" s="55">
        <f>直径材積計算!K209</f>
        <v>1623.5480387027362</v>
      </c>
      <c r="Q96" s="204">
        <f>直径材積計算!N93</f>
        <v>914.27422972484783</v>
      </c>
      <c r="R96" s="49">
        <f>直径材積計算!T93</f>
        <v>1258.3541479181697</v>
      </c>
      <c r="S96" s="49">
        <f>直径材積計算!S93</f>
        <v>34.15407116922816</v>
      </c>
      <c r="T96" s="84">
        <f>直径材積計算!Y93</f>
        <v>0.89749432038091559</v>
      </c>
      <c r="V96" s="153">
        <v>101</v>
      </c>
    </row>
    <row r="97" spans="4:22">
      <c r="D97" s="48">
        <v>102</v>
      </c>
      <c r="E97" s="55">
        <f>IF(D97&lt;入力!$C$17,NA(),IF(D97&gt;入力!$H$48,NA(),D97))</f>
        <v>102</v>
      </c>
      <c r="F97" s="55">
        <f>IF(E97&gt;入力!$C$17,IF(Q96&gt;=P96,P97,(F96-L96)*(1-$B$27)),IF(E97=入力!$C$17,入力!$C$18,NA()))</f>
        <v>914.27422972484783</v>
      </c>
      <c r="G97" s="49">
        <f>'樹高計算 '!N95</f>
        <v>32.426835204152212</v>
      </c>
      <c r="H97" s="49">
        <f>直径材積計算!L94</f>
        <v>1262.7646619933234</v>
      </c>
      <c r="I97" s="49">
        <f>直径材積計算!I94</f>
        <v>34.181048758593313</v>
      </c>
      <c r="J97" s="84">
        <f t="shared" si="4"/>
        <v>1.3811661982131491</v>
      </c>
      <c r="K97" s="84">
        <f>ROUNDDOWN(直径材積計算!X94,2)</f>
        <v>0.89</v>
      </c>
      <c r="L97" s="55">
        <f t="shared" si="6"/>
        <v>0</v>
      </c>
      <c r="M97" s="62" t="e">
        <f>VLOOKUP(E97,入力!$H$38:$I$47,2,FALSE)</f>
        <v>#N/A</v>
      </c>
      <c r="N97" s="62">
        <f t="shared" si="5"/>
        <v>0</v>
      </c>
      <c r="O97" s="49">
        <f>直径材積計算!U94</f>
        <v>0</v>
      </c>
      <c r="P97" s="55">
        <f>直径材積計算!K210</f>
        <v>1621.8287487982466</v>
      </c>
      <c r="Q97" s="204">
        <f>直径材積計算!N94</f>
        <v>914.27422972484783</v>
      </c>
      <c r="R97" s="49">
        <f>直径材積計算!T94</f>
        <v>1262.7646619933234</v>
      </c>
      <c r="S97" s="49">
        <f>直径材積計算!S94</f>
        <v>34.181048758593313</v>
      </c>
      <c r="T97" s="84">
        <f>直径材積計算!Y94</f>
        <v>0.89829724756865503</v>
      </c>
      <c r="V97" s="153">
        <v>102</v>
      </c>
    </row>
    <row r="98" spans="4:22">
      <c r="D98" s="48">
        <v>103</v>
      </c>
      <c r="E98" s="55">
        <f>IF(D98&lt;入力!$C$17,NA(),IF(D98&gt;入力!$H$48,NA(),D98))</f>
        <v>103</v>
      </c>
      <c r="F98" s="55">
        <f>IF(E98&gt;入力!$C$17,IF(Q97&gt;=P97,P98,(F97-L97)*(1-$B$27)),IF(E98=入力!$C$17,入力!$C$18,NA()))</f>
        <v>914.27422972484783</v>
      </c>
      <c r="G98" s="49">
        <f>'樹高計算 '!N96</f>
        <v>32.489675237659988</v>
      </c>
      <c r="H98" s="49">
        <f>直径材積計算!L95</f>
        <v>1267.0624804840143</v>
      </c>
      <c r="I98" s="49">
        <f>直径材積計算!I95</f>
        <v>34.207247027966048</v>
      </c>
      <c r="J98" s="84">
        <f t="shared" si="4"/>
        <v>1.3858669962351871</v>
      </c>
      <c r="K98" s="84">
        <f>ROUNDDOWN(直径材積計算!X95,2)</f>
        <v>0.89</v>
      </c>
      <c r="L98" s="55">
        <f t="shared" si="6"/>
        <v>0</v>
      </c>
      <c r="M98" s="62" t="e">
        <f>VLOOKUP(E98,入力!$H$38:$I$47,2,FALSE)</f>
        <v>#N/A</v>
      </c>
      <c r="N98" s="62">
        <f t="shared" si="5"/>
        <v>0</v>
      </c>
      <c r="O98" s="49">
        <f>直径材積計算!U95</f>
        <v>0</v>
      </c>
      <c r="P98" s="55">
        <f>直径材積計算!K211</f>
        <v>1620.1574374469444</v>
      </c>
      <c r="Q98" s="204">
        <f>直径材積計算!N95</f>
        <v>914.27422972484783</v>
      </c>
      <c r="R98" s="49">
        <f>直径材積計算!T95</f>
        <v>1267.0624804840143</v>
      </c>
      <c r="S98" s="49">
        <f>直径材積計算!S95</f>
        <v>34.207247027966048</v>
      </c>
      <c r="T98" s="84">
        <f>直径材積計算!Y95</f>
        <v>0.89907662708019387</v>
      </c>
      <c r="V98" s="153">
        <v>103</v>
      </c>
    </row>
    <row r="99" spans="4:22">
      <c r="D99" s="48">
        <v>104</v>
      </c>
      <c r="E99" s="55">
        <f>IF(D99&lt;入力!$C$17,NA(),IF(D99&gt;入力!$H$48,NA(),D99))</f>
        <v>104</v>
      </c>
      <c r="F99" s="55">
        <f>IF(E99&gt;入力!$C$17,IF(Q98&gt;=P98,P99,(F98-L98)*(1-$B$27)),IF(E99=入力!$C$17,入力!$C$18,NA()))</f>
        <v>914.27422972484783</v>
      </c>
      <c r="G99" s="49">
        <f>'樹高計算 '!N97</f>
        <v>32.550846505248529</v>
      </c>
      <c r="H99" s="49">
        <f>直径材積計算!L96</f>
        <v>1271.2503621618644</v>
      </c>
      <c r="I99" s="49">
        <f>直径材積計算!I96</f>
        <v>34.232690236930701</v>
      </c>
      <c r="J99" s="84">
        <f t="shared" si="4"/>
        <v>1.3904475493577557</v>
      </c>
      <c r="K99" s="84">
        <f>ROUNDDOWN(直径材積計算!X96,2)</f>
        <v>0.89</v>
      </c>
      <c r="L99" s="55">
        <f t="shared" si="6"/>
        <v>0</v>
      </c>
      <c r="M99" s="62" t="e">
        <f>VLOOKUP(E99,入力!$H$38:$I$47,2,FALSE)</f>
        <v>#N/A</v>
      </c>
      <c r="N99" s="62">
        <f t="shared" si="5"/>
        <v>0</v>
      </c>
      <c r="O99" s="49">
        <f>直径材積計算!U96</f>
        <v>0</v>
      </c>
      <c r="P99" s="55">
        <f>直径材積計算!K212</f>
        <v>1618.5327046967875</v>
      </c>
      <c r="Q99" s="204">
        <f>直径材積計算!N96</f>
        <v>914.27422972484783</v>
      </c>
      <c r="R99" s="49">
        <f>直径材積計算!T96</f>
        <v>1271.2503621618644</v>
      </c>
      <c r="S99" s="49">
        <f>直径材積計算!S96</f>
        <v>34.232690236930701</v>
      </c>
      <c r="T99" s="84">
        <f>直径材積計算!Y96</f>
        <v>0.89983320994972549</v>
      </c>
      <c r="V99" s="153">
        <v>104</v>
      </c>
    </row>
    <row r="100" spans="4:22">
      <c r="D100" s="48">
        <v>105</v>
      </c>
      <c r="E100" s="55">
        <f>IF(D100&lt;入力!$C$17,NA(),IF(D100&gt;入力!$H$48,NA(),D100))</f>
        <v>105</v>
      </c>
      <c r="F100" s="55">
        <f>IF(E100&gt;入力!$C$17,IF(Q99&gt;=P99,P100,(F99-L99)*(1-$B$27)),IF(E100=入力!$C$17,入力!$C$18,NA()))</f>
        <v>914.27422972484783</v>
      </c>
      <c r="G100" s="49">
        <f>'樹高計算 '!N98</f>
        <v>32.610393421542035</v>
      </c>
      <c r="H100" s="49">
        <f>直径材積計算!L97</f>
        <v>1275.3310048885899</v>
      </c>
      <c r="I100" s="49">
        <f>直径材積計算!I97</f>
        <v>34.257401791260442</v>
      </c>
      <c r="J100" s="84">
        <f t="shared" si="4"/>
        <v>1.3949108084041728</v>
      </c>
      <c r="K100" s="84">
        <f>ROUNDDOWN(直径材積計算!X97,2)</f>
        <v>0.9</v>
      </c>
      <c r="L100" s="55">
        <f t="shared" si="6"/>
        <v>0</v>
      </c>
      <c r="M100" s="62" t="e">
        <f>VLOOKUP(E100,入力!$H$38:$I$47,2,FALSE)</f>
        <v>#N/A</v>
      </c>
      <c r="N100" s="62">
        <f t="shared" si="5"/>
        <v>0</v>
      </c>
      <c r="O100" s="49">
        <f>直径材積計算!U97</f>
        <v>0</v>
      </c>
      <c r="P100" s="55">
        <f>直径材積計算!K213</f>
        <v>1616.9531947300475</v>
      </c>
      <c r="Q100" s="204">
        <f>直径材積計算!N97</f>
        <v>914.27422972484783</v>
      </c>
      <c r="R100" s="49">
        <f>直径材積計算!T97</f>
        <v>1275.3310048885899</v>
      </c>
      <c r="S100" s="49">
        <f>直径材積計算!S97</f>
        <v>34.257401791260442</v>
      </c>
      <c r="T100" s="84">
        <f>直径材積計算!Y97</f>
        <v>0.90056771991075191</v>
      </c>
      <c r="V100" s="153">
        <v>105</v>
      </c>
    </row>
    <row r="101" spans="4:22">
      <c r="D101" s="48">
        <v>106</v>
      </c>
      <c r="E101" s="55">
        <f>IF(D101&lt;入力!$C$17,NA(),IF(D101&gt;入力!$H$48,NA(),D101))</f>
        <v>106</v>
      </c>
      <c r="F101" s="55">
        <f>IF(E101&gt;入力!$C$17,IF(Q100&gt;=P100,P101,(F100-L100)*(1-$B$27)),IF(E101=入力!$C$17,入力!$C$18,NA()))</f>
        <v>914.27422972484783</v>
      </c>
      <c r="G101" s="49">
        <f>'樹高計算 '!N99</f>
        <v>32.668359207107322</v>
      </c>
      <c r="H101" s="49">
        <f>直径材積計算!L98</f>
        <v>1279.3070465687995</v>
      </c>
      <c r="I101" s="49">
        <f>直径材積計算!I98</f>
        <v>34.281404278478611</v>
      </c>
      <c r="J101" s="84">
        <f t="shared" si="4"/>
        <v>1.3992596586188466</v>
      </c>
      <c r="K101" s="84">
        <f>ROUNDDOWN(直径材積計算!X98,2)</f>
        <v>0.9</v>
      </c>
      <c r="L101" s="55">
        <f t="shared" si="6"/>
        <v>0</v>
      </c>
      <c r="M101" s="62" t="e">
        <f>VLOOKUP(E101,入力!$H$38:$I$47,2,FALSE)</f>
        <v>#N/A</v>
      </c>
      <c r="N101" s="62">
        <f t="shared" si="5"/>
        <v>0</v>
      </c>
      <c r="O101" s="49">
        <f>直径材積計算!U98</f>
        <v>0</v>
      </c>
      <c r="P101" s="55">
        <f>直径材積計算!K214</f>
        <v>1615.4175943003406</v>
      </c>
      <c r="Q101" s="204">
        <f>直径材積計算!N98</f>
        <v>914.27422972484783</v>
      </c>
      <c r="R101" s="49">
        <f>直径材積計算!T98</f>
        <v>1279.3070465687995</v>
      </c>
      <c r="S101" s="49">
        <f>直径材積計算!S98</f>
        <v>34.281404278478611</v>
      </c>
      <c r="T101" s="84">
        <f>直径材積計算!Y98</f>
        <v>0.90128085457052409</v>
      </c>
      <c r="V101" s="153">
        <v>106</v>
      </c>
    </row>
    <row r="102" spans="4:22">
      <c r="D102" s="48">
        <v>107</v>
      </c>
      <c r="E102" s="55">
        <f>IF(D102&lt;入力!$C$17,NA(),IF(D102&gt;入力!$H$48,NA(),D102))</f>
        <v>107</v>
      </c>
      <c r="F102" s="55">
        <f>IF(E102&gt;入力!$C$17,IF(Q101&gt;=P101,P102,(F101-L101)*(1-$B$27)),IF(E102=入力!$C$17,入力!$C$18,NA()))</f>
        <v>914.27422972484783</v>
      </c>
      <c r="G102" s="49">
        <f>'樹高計算 '!N100</f>
        <v>32.724785921619691</v>
      </c>
      <c r="H102" s="49">
        <f>直径材積計算!L99</f>
        <v>1283.1810661152399</v>
      </c>
      <c r="I102" s="49">
        <f>直径材積計算!I99</f>
        <v>34.304719501640776</v>
      </c>
      <c r="J102" s="84">
        <f t="shared" si="4"/>
        <v>1.4034969207230255</v>
      </c>
      <c r="K102" s="84">
        <f>ROUNDDOWN(直径材積計算!X99,2)</f>
        <v>0.9</v>
      </c>
      <c r="L102" s="55">
        <f t="shared" si="6"/>
        <v>0</v>
      </c>
      <c r="M102" s="62" t="e">
        <f>VLOOKUP(E102,入力!$H$38:$I$47,2,FALSE)</f>
        <v>#N/A</v>
      </c>
      <c r="N102" s="62">
        <f t="shared" si="5"/>
        <v>0</v>
      </c>
      <c r="O102" s="49">
        <f>直径材積計算!U99</f>
        <v>0</v>
      </c>
      <c r="P102" s="55">
        <f>直径材積計算!K215</f>
        <v>1613.9246312332959</v>
      </c>
      <c r="Q102" s="204">
        <f>直径材積計算!N99</f>
        <v>914.27422972484783</v>
      </c>
      <c r="R102" s="49">
        <f>直径材積計算!T99</f>
        <v>1283.1810661152399</v>
      </c>
      <c r="S102" s="49">
        <f>直径材積計算!S99</f>
        <v>34.304719501640776</v>
      </c>
      <c r="T102" s="84">
        <f>直径材積計算!Y99</f>
        <v>0.90197328652440056</v>
      </c>
      <c r="V102" s="153">
        <v>107</v>
      </c>
    </row>
    <row r="103" spans="4:22">
      <c r="D103" s="48">
        <v>108</v>
      </c>
      <c r="E103" s="55">
        <f>IF(D103&lt;入力!$C$17,NA(),IF(D103&gt;入力!$H$48,NA(),D103))</f>
        <v>108</v>
      </c>
      <c r="F103" s="55">
        <f>IF(E103&gt;入力!$C$17,IF(Q102&gt;=P102,P103,(F102-L102)*(1-$B$27)),IF(E103=入力!$C$17,入力!$C$18,NA()))</f>
        <v>914.27422972484783</v>
      </c>
      <c r="G103" s="49">
        <f>'樹高計算 '!N101</f>
        <v>32.779714496027857</v>
      </c>
      <c r="H103" s="49">
        <f>直径材積計算!L100</f>
        <v>1286.9555844237159</v>
      </c>
      <c r="I103" s="49">
        <f>直径材積計算!I100</f>
        <v>34.327368511441513</v>
      </c>
      <c r="J103" s="84">
        <f t="shared" si="4"/>
        <v>1.4076253519811306</v>
      </c>
      <c r="K103" s="84">
        <f>ROUNDDOWN(直径材積計算!X100,2)</f>
        <v>0.9</v>
      </c>
      <c r="L103" s="55">
        <f t="shared" ref="L103:L115" si="7">ROUNDUP(F103*N103,-1)</f>
        <v>0</v>
      </c>
      <c r="M103" s="62" t="e">
        <f>VLOOKUP(E103,入力!$H$38:$I$47,2,FALSE)</f>
        <v>#N/A</v>
      </c>
      <c r="N103" s="62">
        <f t="shared" si="5"/>
        <v>0</v>
      </c>
      <c r="O103" s="49">
        <f>直径材積計算!U100</f>
        <v>0</v>
      </c>
      <c r="P103" s="55">
        <f>直径材積計算!K216</f>
        <v>1612.4730729879557</v>
      </c>
      <c r="Q103" s="204">
        <f>直径材積計算!N100</f>
        <v>914.27422972484783</v>
      </c>
      <c r="R103" s="49">
        <f>直径材積計算!T100</f>
        <v>1286.9555844237159</v>
      </c>
      <c r="S103" s="49">
        <f>直径材積計算!S100</f>
        <v>34.327368511441513</v>
      </c>
      <c r="T103" s="84">
        <f>直径材積計算!Y100</f>
        <v>0.90264566441368199</v>
      </c>
      <c r="V103" s="153">
        <v>108</v>
      </c>
    </row>
    <row r="104" spans="4:22">
      <c r="D104" s="48">
        <v>109</v>
      </c>
      <c r="E104" s="55">
        <f>IF(D104&lt;入力!$C$17,NA(),IF(D104&gt;入力!$H$48,NA(),D104))</f>
        <v>109</v>
      </c>
      <c r="F104" s="55">
        <f>IF(E104&gt;入力!$C$17,IF(Q103&gt;=P103,P104,(F103-L103)*(1-$B$27)),IF(E104=入力!$C$17,入力!$C$18,NA()))</f>
        <v>914.27422972484783</v>
      </c>
      <c r="G104" s="49">
        <f>'樹高計算 '!N102</f>
        <v>32.833184763753202</v>
      </c>
      <c r="H104" s="49">
        <f>直径材積計算!L101</f>
        <v>1290.6330653552702</v>
      </c>
      <c r="I104" s="49">
        <f>直径材積計算!I101</f>
        <v>34.349371636743811</v>
      </c>
      <c r="J104" s="84">
        <f t="shared" si="4"/>
        <v>1.4116476472750283</v>
      </c>
      <c r="K104" s="84">
        <f>ROUNDDOWN(直径材積計算!X101,2)</f>
        <v>0.9</v>
      </c>
      <c r="L104" s="55">
        <f t="shared" si="7"/>
        <v>0</v>
      </c>
      <c r="M104" s="62" t="e">
        <f>VLOOKUP(E104,入力!$H$38:$I$47,2,FALSE)</f>
        <v>#N/A</v>
      </c>
      <c r="N104" s="62">
        <f t="shared" si="5"/>
        <v>0</v>
      </c>
      <c r="O104" s="49">
        <f>直径材積計算!U101</f>
        <v>0</v>
      </c>
      <c r="P104" s="55">
        <f>直径材積計算!K217</f>
        <v>1611.0617252761119</v>
      </c>
      <c r="Q104" s="204">
        <f>直径材積計算!N101</f>
        <v>914.27422972484783</v>
      </c>
      <c r="R104" s="49">
        <f>直径材積計算!T101</f>
        <v>1290.6330653552702</v>
      </c>
      <c r="S104" s="49">
        <f>直径材積計算!S101</f>
        <v>34.349371636743811</v>
      </c>
      <c r="T104" s="84">
        <f>直径材積計算!Y101</f>
        <v>0.90329861393024458</v>
      </c>
      <c r="V104" s="153">
        <v>109</v>
      </c>
    </row>
    <row r="105" spans="4:22">
      <c r="D105" s="48">
        <v>110</v>
      </c>
      <c r="E105" s="55">
        <f>IF(D105&lt;入力!$C$17,NA(),IF(D105&gt;入力!$H$48,NA(),D105))</f>
        <v>110</v>
      </c>
      <c r="F105" s="55">
        <f>IF(E105&gt;入力!$C$17,IF(Q104&gt;=P104,P105,(F104-L104)*(1-$B$27)),IF(E105=入力!$C$17,入力!$C$18,NA()))</f>
        <v>914.27422972484783</v>
      </c>
      <c r="G105" s="49">
        <f>'樹高計算 '!N103</f>
        <v>32.885235490956617</v>
      </c>
      <c r="H105" s="49">
        <f>直径材積計算!L102</f>
        <v>1294.2159167233617</v>
      </c>
      <c r="I105" s="49">
        <f>直径材積計算!I102</f>
        <v>34.370748513622367</v>
      </c>
      <c r="J105" s="84">
        <f t="shared" si="4"/>
        <v>1.4155664401837706</v>
      </c>
      <c r="K105" s="84">
        <f>ROUNDDOWN(直径材積計算!X102,2)</f>
        <v>0.9</v>
      </c>
      <c r="L105" s="55">
        <f t="shared" si="7"/>
        <v>0</v>
      </c>
      <c r="M105" s="62" t="e">
        <f>VLOOKUP(E105,入力!$H$38:$I$47,2,FALSE)</f>
        <v>#N/A</v>
      </c>
      <c r="N105" s="62">
        <f t="shared" si="5"/>
        <v>0</v>
      </c>
      <c r="O105" s="49">
        <f>直径材積計算!U102</f>
        <v>0</v>
      </c>
      <c r="P105" s="55">
        <f>直径材積計算!K218</f>
        <v>1609.6894307369373</v>
      </c>
      <c r="Q105" s="204">
        <f>直径材積計算!N102</f>
        <v>914.27422972484783</v>
      </c>
      <c r="R105" s="49">
        <f>直径材積計算!T102</f>
        <v>1294.2159167233617</v>
      </c>
      <c r="S105" s="49">
        <f>直径材積計算!S102</f>
        <v>34.370748513622367</v>
      </c>
      <c r="T105" s="84">
        <f>直径材積計算!Y102</f>
        <v>0.90393273877108316</v>
      </c>
      <c r="V105" s="153">
        <v>110</v>
      </c>
    </row>
    <row r="106" spans="4:22">
      <c r="D106" s="48">
        <v>111</v>
      </c>
      <c r="E106" s="55">
        <f>IF(D106&lt;入力!$C$17,NA(),IF(D106&gt;入力!$H$48,NA(),D106))</f>
        <v>111</v>
      </c>
      <c r="F106" s="55">
        <f>IF(E106&gt;入力!$C$17,IF(Q105&gt;=P105,P106,(F105-L105)*(1-$B$27)),IF(E106=入力!$C$17,入力!$C$18,NA()))</f>
        <v>914.27422972484783</v>
      </c>
      <c r="G106" s="49">
        <f>'樹高計算 '!N104</f>
        <v>32.935904405905355</v>
      </c>
      <c r="H106" s="49">
        <f>直径材積計算!L103</f>
        <v>1297.7064912840287</v>
      </c>
      <c r="I106" s="49">
        <f>直径材積計算!I103</f>
        <v>34.391518113005951</v>
      </c>
      <c r="J106" s="84">
        <f t="shared" si="4"/>
        <v>1.4193843040665988</v>
      </c>
      <c r="K106" s="84">
        <f>ROUNDDOWN(直径材積計算!X103,2)</f>
        <v>0.9</v>
      </c>
      <c r="L106" s="55">
        <f t="shared" si="7"/>
        <v>0</v>
      </c>
      <c r="M106" s="62" t="e">
        <f>VLOOKUP(E106,入力!$H$38:$I$47,2,FALSE)</f>
        <v>#N/A</v>
      </c>
      <c r="N106" s="62">
        <f t="shared" si="5"/>
        <v>0</v>
      </c>
      <c r="O106" s="49">
        <f>直径材積計算!U103</f>
        <v>0</v>
      </c>
      <c r="P106" s="55">
        <f>直径材積計算!K219</f>
        <v>1608.3550676643856</v>
      </c>
      <c r="Q106" s="204">
        <f>直径材積計算!N103</f>
        <v>914.27422972484783</v>
      </c>
      <c r="R106" s="49">
        <f>直径材積計算!T103</f>
        <v>1297.7064912840287</v>
      </c>
      <c r="S106" s="49">
        <f>直径材積計算!S103</f>
        <v>34.391518113005951</v>
      </c>
      <c r="T106" s="84">
        <f>直径材積計算!Y103</f>
        <v>0.90454862154566362</v>
      </c>
      <c r="V106" s="153">
        <v>111</v>
      </c>
    </row>
    <row r="107" spans="4:22">
      <c r="D107" s="48">
        <v>112</v>
      </c>
      <c r="E107" s="55">
        <f>IF(D107&lt;入力!$C$17,NA(),IF(D107&gt;入力!$H$48,NA(),D107))</f>
        <v>112</v>
      </c>
      <c r="F107" s="55">
        <f>IF(E107&gt;入力!$C$17,IF(Q106&gt;=P106,P107,(F106-L106)*(1-$B$27)),IF(E107=入力!$C$17,入力!$C$18,NA()))</f>
        <v>914.27422972484783</v>
      </c>
      <c r="G107" s="49">
        <f>'樹高計算 '!N105</f>
        <v>32.985228227470728</v>
      </c>
      <c r="H107" s="49">
        <f>直径材積計算!L104</f>
        <v>1301.1070877271777</v>
      </c>
      <c r="I107" s="49">
        <f>直径材積計算!I104</f>
        <v>34.411698766998484</v>
      </c>
      <c r="J107" s="84">
        <f t="shared" si="4"/>
        <v>1.4231037531471797</v>
      </c>
      <c r="K107" s="84">
        <f>ROUNDDOWN(直径材積計算!X104,2)</f>
        <v>0.9</v>
      </c>
      <c r="L107" s="55">
        <f t="shared" si="7"/>
        <v>0</v>
      </c>
      <c r="M107" s="62" t="e">
        <f>VLOOKUP(E107,入力!$H$38:$I$47,2,FALSE)</f>
        <v>#N/A</v>
      </c>
      <c r="N107" s="62">
        <f t="shared" si="5"/>
        <v>0</v>
      </c>
      <c r="O107" s="49">
        <f>直径材積計算!U104</f>
        <v>0</v>
      </c>
      <c r="P107" s="55">
        <f>直径材積計算!K220</f>
        <v>1607.0575487849733</v>
      </c>
      <c r="Q107" s="204">
        <f>直径材積計算!N104</f>
        <v>914.27422972484783</v>
      </c>
      <c r="R107" s="49">
        <f>直径材積計算!T104</f>
        <v>1301.1070877271777</v>
      </c>
      <c r="S107" s="49">
        <f>直径材積計算!S104</f>
        <v>34.411698766998484</v>
      </c>
      <c r="T107" s="84">
        <f>直径材積計算!Y104</f>
        <v>0.90514682463879703</v>
      </c>
      <c r="V107" s="153">
        <v>112</v>
      </c>
    </row>
    <row r="108" spans="4:22">
      <c r="D108" s="48">
        <v>113</v>
      </c>
      <c r="E108" s="55">
        <f>IF(D108&lt;入力!$C$17,NA(),IF(D108&gt;入力!$H$48,NA(),D108))</f>
        <v>113</v>
      </c>
      <c r="F108" s="55">
        <f>IF(E108&gt;入力!$C$17,IF(Q107&gt;=P107,P108,(F107-L107)*(1-$B$27)),IF(E108=入力!$C$17,入力!$C$18,NA()))</f>
        <v>914.27422972484783</v>
      </c>
      <c r="G108" s="49">
        <f>'樹高計算 '!N106</f>
        <v>33.033242692786509</v>
      </c>
      <c r="H108" s="49">
        <f>直径材積計算!L105</f>
        <v>1304.4199516673457</v>
      </c>
      <c r="I108" s="49">
        <f>直径材積計算!I105</f>
        <v>34.431308193953377</v>
      </c>
      <c r="J108" s="84">
        <f t="shared" si="4"/>
        <v>1.426727243597266</v>
      </c>
      <c r="K108" s="84">
        <f>ROUNDDOWN(直径材積計算!X105,2)</f>
        <v>0.9</v>
      </c>
      <c r="L108" s="55">
        <f t="shared" si="7"/>
        <v>0</v>
      </c>
      <c r="M108" s="62" t="e">
        <f>VLOOKUP(E108,入力!$H$38:$I$47,2,FALSE)</f>
        <v>#N/A</v>
      </c>
      <c r="N108" s="62">
        <f t="shared" si="5"/>
        <v>0</v>
      </c>
      <c r="O108" s="49">
        <f>直径材積計算!U105</f>
        <v>0</v>
      </c>
      <c r="P108" s="55">
        <f>直径材積計算!K221</f>
        <v>1605.7958200836542</v>
      </c>
      <c r="Q108" s="204">
        <f>直径材積計算!N105</f>
        <v>914.27422972484783</v>
      </c>
      <c r="R108" s="49">
        <f>直径材積計算!T105</f>
        <v>1304.4199516673457</v>
      </c>
      <c r="S108" s="49">
        <f>直径材積計算!S105</f>
        <v>34.431308193953377</v>
      </c>
      <c r="T108" s="84">
        <f>直径材積計算!Y105</f>
        <v>0.90572789103157558</v>
      </c>
      <c r="V108" s="153">
        <v>113</v>
      </c>
    </row>
    <row r="109" spans="4:22">
      <c r="D109" s="48">
        <v>114</v>
      </c>
      <c r="E109" s="55">
        <f>IF(D109&lt;入力!$C$17,NA(),IF(D109&gt;入力!$H$48,NA(),D109))</f>
        <v>114</v>
      </c>
      <c r="F109" s="55">
        <f>IF(E109&gt;入力!$C$17,IF(Q108&gt;=P108,P109,(F108-L108)*(1-$B$27)),IF(E109=入力!$C$17,入力!$C$18,NA()))</f>
        <v>914.27422972484783</v>
      </c>
      <c r="G109" s="49">
        <f>'樹高計算 '!N107</f>
        <v>33.079982584096534</v>
      </c>
      <c r="H109" s="49">
        <f>直径材積計算!L106</f>
        <v>1307.647276632428</v>
      </c>
      <c r="I109" s="49">
        <f>直径材積計算!I106</f>
        <v>34.45036352237112</v>
      </c>
      <c r="J109" s="84">
        <f t="shared" si="4"/>
        <v>1.4302571746181301</v>
      </c>
      <c r="K109" s="84">
        <f>ROUNDDOWN(直径材積計算!X106,2)</f>
        <v>0.9</v>
      </c>
      <c r="L109" s="55">
        <f t="shared" si="7"/>
        <v>0</v>
      </c>
      <c r="M109" s="62" t="e">
        <f>VLOOKUP(E109,入力!$H$38:$I$47,2,FALSE)</f>
        <v>#N/A</v>
      </c>
      <c r="N109" s="62">
        <f t="shared" si="5"/>
        <v>0</v>
      </c>
      <c r="O109" s="49">
        <f>直径材積計算!U106</f>
        <v>0</v>
      </c>
      <c r="P109" s="55">
        <f>直径材積計算!K222</f>
        <v>1604.5688596756213</v>
      </c>
      <c r="Q109" s="204">
        <f>直径材積計算!N106</f>
        <v>914.27422972484783</v>
      </c>
      <c r="R109" s="49">
        <f>直径材積計算!T106</f>
        <v>1307.647276632428</v>
      </c>
      <c r="S109" s="49">
        <f>直径材積計算!S106</f>
        <v>34.45036352237112</v>
      </c>
      <c r="T109" s="84">
        <f>直径材積計算!Y106</f>
        <v>0.90629234508274892</v>
      </c>
      <c r="V109" s="153">
        <v>114</v>
      </c>
    </row>
    <row r="110" spans="4:22">
      <c r="D110" s="48">
        <v>115</v>
      </c>
      <c r="E110" s="55">
        <f>IF(D110&lt;入力!$C$17,NA(),IF(D110&gt;入力!$H$48,NA(),D110))</f>
        <v>115</v>
      </c>
      <c r="F110" s="55">
        <f>IF(E110&gt;入力!$C$17,IF(Q109&gt;=P109,P110,(F109-L109)*(1-$B$27)),IF(E110=入力!$C$17,入力!$C$18,NA()))</f>
        <v>914.27422972484783</v>
      </c>
      <c r="G110" s="49">
        <f>'樹高計算 '!N108</f>
        <v>33.1254817548188</v>
      </c>
      <c r="H110" s="49">
        <f>直径材積計算!L107</f>
        <v>1310.7912050489779</v>
      </c>
      <c r="I110" s="49">
        <f>直径材積計算!I107</f>
        <v>34.468881313684811</v>
      </c>
      <c r="J110" s="84">
        <f t="shared" si="4"/>
        <v>1.4336958895182492</v>
      </c>
      <c r="K110" s="84">
        <f>ROUNDDOWN(直径材積計算!X107,2)</f>
        <v>0.9</v>
      </c>
      <c r="L110" s="55">
        <f t="shared" si="7"/>
        <v>0</v>
      </c>
      <c r="M110" s="62" t="e">
        <f>VLOOKUP(E110,入力!$H$38:$I$47,2,FALSE)</f>
        <v>#N/A</v>
      </c>
      <c r="N110" s="62">
        <f t="shared" si="5"/>
        <v>0</v>
      </c>
      <c r="O110" s="49">
        <f>直径材積計算!U107</f>
        <v>0</v>
      </c>
      <c r="P110" s="55">
        <f>直径材積計算!K223</f>
        <v>1603.3756767219795</v>
      </c>
      <c r="Q110" s="204">
        <f>直径材積計算!N107</f>
        <v>914.27422972484783</v>
      </c>
      <c r="R110" s="49">
        <f>直径材積計算!T107</f>
        <v>1310.7912050489779</v>
      </c>
      <c r="S110" s="49">
        <f>直径材積計算!S107</f>
        <v>34.468881313684811</v>
      </c>
      <c r="T110" s="84">
        <f>直径材積計算!Y107</f>
        <v>0.9068406932727533</v>
      </c>
      <c r="V110" s="153">
        <v>115</v>
      </c>
    </row>
    <row r="111" spans="4:22">
      <c r="D111" s="48">
        <v>116</v>
      </c>
      <c r="E111" s="55">
        <f>IF(D111&lt;入力!$C$17,NA(),IF(D111&gt;入力!$H$48,NA(),D111))</f>
        <v>116</v>
      </c>
      <c r="F111" s="55">
        <f>IF(E111&gt;入力!$C$17,IF(Q110&gt;=P110,P111,(F110-L110)*(1-$B$27)),IF(E111=入力!$C$17,入力!$C$18,NA()))</f>
        <v>914.27422972484783</v>
      </c>
      <c r="G111" s="49">
        <f>'樹高計算 '!N109</f>
        <v>33.169773154852507</v>
      </c>
      <c r="H111" s="49">
        <f>直径材積計算!L108</f>
        <v>1313.8538292228729</v>
      </c>
      <c r="I111" s="49">
        <f>直径材積計算!I108</f>
        <v>34.486877583995572</v>
      </c>
      <c r="J111" s="84">
        <f t="shared" si="4"/>
        <v>1.4370456767859237</v>
      </c>
      <c r="K111" s="84">
        <f>ROUNDDOWN(直径材積計算!X108,2)</f>
        <v>0.9</v>
      </c>
      <c r="L111" s="55">
        <f t="shared" si="7"/>
        <v>0</v>
      </c>
      <c r="M111" s="62" t="e">
        <f>VLOOKUP(E111,入力!$H$38:$I$47,2,FALSE)</f>
        <v>#N/A</v>
      </c>
      <c r="N111" s="62">
        <f t="shared" si="5"/>
        <v>0</v>
      </c>
      <c r="O111" s="49">
        <f>直径材積計算!U108</f>
        <v>0</v>
      </c>
      <c r="P111" s="55">
        <f>直径材積計算!K224</f>
        <v>1602.2153103873261</v>
      </c>
      <c r="Q111" s="204">
        <f>直径材積計算!N108</f>
        <v>914.27422972484783</v>
      </c>
      <c r="R111" s="49">
        <f>直径材積計算!T108</f>
        <v>1313.8538292228729</v>
      </c>
      <c r="S111" s="49">
        <f>直径材積計算!S108</f>
        <v>34.486877583995572</v>
      </c>
      <c r="T111" s="84">
        <f>直径材積計算!Y108</f>
        <v>0.90737342491249229</v>
      </c>
      <c r="V111" s="153">
        <v>116</v>
      </c>
    </row>
    <row r="112" spans="4:22">
      <c r="D112" s="48">
        <v>117</v>
      </c>
      <c r="E112" s="55">
        <f>IF(D112&lt;入力!$C$17,NA(),IF(D112&gt;入力!$H$48,NA(),D112))</f>
        <v>117</v>
      </c>
      <c r="F112" s="55">
        <f>IF(E112&gt;入力!$C$17,IF(Q111&gt;=P111,P112,(F111-L111)*(1-$B$27)),IF(E112=入力!$C$17,入力!$C$18,NA()))</f>
        <v>914.27422972484783</v>
      </c>
      <c r="G112" s="49">
        <f>'樹高計算 '!N110</f>
        <v>33.212888855153139</v>
      </c>
      <c r="H112" s="49">
        <f>直径材積計算!L109</f>
        <v>1316.8371923142151</v>
      </c>
      <c r="I112" s="49">
        <f>直径材積計算!I109</f>
        <v>34.504367824814459</v>
      </c>
      <c r="J112" s="84">
        <f t="shared" si="4"/>
        <v>1.4403087711555855</v>
      </c>
      <c r="K112" s="84">
        <f>ROUNDDOWN(直径材積計算!X109,2)</f>
        <v>0.9</v>
      </c>
      <c r="L112" s="55">
        <f t="shared" si="7"/>
        <v>0</v>
      </c>
      <c r="M112" s="62" t="e">
        <f>VLOOKUP(E112,入力!$H$38:$I$47,2,FALSE)</f>
        <v>#N/A</v>
      </c>
      <c r="N112" s="62">
        <f t="shared" si="5"/>
        <v>0</v>
      </c>
      <c r="O112" s="49">
        <f>直径材積計算!U109</f>
        <v>0</v>
      </c>
      <c r="P112" s="55">
        <f>直径材積計算!K225</f>
        <v>1601.0868288373729</v>
      </c>
      <c r="Q112" s="204">
        <f>直径材積計算!N109</f>
        <v>914.27422972484783</v>
      </c>
      <c r="R112" s="49">
        <f>直径材積計算!T109</f>
        <v>1316.8371923142151</v>
      </c>
      <c r="S112" s="49">
        <f>直径材積計算!S109</f>
        <v>34.504367824814459</v>
      </c>
      <c r="T112" s="84">
        <f>直径材積計算!Y109</f>
        <v>0.9078910128188058</v>
      </c>
      <c r="V112" s="153">
        <v>117</v>
      </c>
    </row>
    <row r="113" spans="4:22">
      <c r="D113" s="48">
        <v>118</v>
      </c>
      <c r="E113" s="55">
        <f>IF(D113&lt;入力!$C$17,NA(),IF(D113&gt;入力!$H$48,NA(),D113))</f>
        <v>118</v>
      </c>
      <c r="F113" s="55">
        <f>IF(E113&gt;入力!$C$17,IF(Q112&gt;=P112,P113,(F112-L112)*(1-$B$27)),IF(E113=入力!$C$17,入力!$C$18,NA()))</f>
        <v>914.27422972484783</v>
      </c>
      <c r="G113" s="49">
        <f>'樹高計算 '!N111</f>
        <v>33.254860071599857</v>
      </c>
      <c r="H113" s="49">
        <f>直径材積計算!L110</f>
        <v>1319.7432893054508</v>
      </c>
      <c r="I113" s="49">
        <f>直径材積計算!I110</f>
        <v>34.521367022865043</v>
      </c>
      <c r="J113" s="84">
        <f t="shared" si="4"/>
        <v>1.4434873546666951</v>
      </c>
      <c r="K113" s="84">
        <f>ROUNDDOWN(直径材積計算!X110,2)</f>
        <v>0.9</v>
      </c>
      <c r="L113" s="55">
        <f t="shared" si="7"/>
        <v>0</v>
      </c>
      <c r="M113" s="62" t="e">
        <f>VLOOKUP(E113,入力!$H$38:$I$47,2,FALSE)</f>
        <v>#N/A</v>
      </c>
      <c r="N113" s="62">
        <f t="shared" si="5"/>
        <v>0</v>
      </c>
      <c r="O113" s="49">
        <f>直径材積計算!U110</f>
        <v>0</v>
      </c>
      <c r="P113" s="55">
        <f>直径材積計算!K226</f>
        <v>1599.9893282748465</v>
      </c>
      <c r="Q113" s="204">
        <f>直径材積計算!N110</f>
        <v>914.27422972484783</v>
      </c>
      <c r="R113" s="49">
        <f>直径材積計算!T110</f>
        <v>1319.7432893054508</v>
      </c>
      <c r="S113" s="49">
        <f>直径材積計算!S110</f>
        <v>34.521367022865043</v>
      </c>
      <c r="T113" s="84">
        <f>直径材積計算!Y110</f>
        <v>0.90839391395846425</v>
      </c>
      <c r="V113" s="153">
        <v>118</v>
      </c>
    </row>
    <row r="114" spans="4:22">
      <c r="D114" s="48">
        <v>119</v>
      </c>
      <c r="E114" s="55">
        <f>IF(D114&lt;入力!$C$17,NA(),IF(D114&gt;入力!$H$48,NA(),D114))</f>
        <v>119</v>
      </c>
      <c r="F114" s="55">
        <f>IF(E114&gt;入力!$C$17,IF(Q113&gt;=P113,P114,(F113-L113)*(1-$B$27)),IF(E114=入力!$C$17,入力!$C$18,NA()))</f>
        <v>914.27422972484783</v>
      </c>
      <c r="G114" s="49">
        <f>'樹高計算 '!N112</f>
        <v>33.295717188178457</v>
      </c>
      <c r="H114" s="49">
        <f>直径材積計算!L111</f>
        <v>1322.5740679618391</v>
      </c>
      <c r="I114" s="49">
        <f>直径材積計算!I111</f>
        <v>34.537889678996962</v>
      </c>
      <c r="J114" s="84">
        <f t="shared" si="4"/>
        <v>1.4465835577142645</v>
      </c>
      <c r="K114" s="84">
        <f>ROUNDDOWN(直径材積計算!X111,2)</f>
        <v>0.9</v>
      </c>
      <c r="L114" s="55">
        <f t="shared" si="7"/>
        <v>0</v>
      </c>
      <c r="M114" s="62" t="e">
        <f>VLOOKUP(E114,入力!$H$38:$I$47,2,FALSE)</f>
        <v>#N/A</v>
      </c>
      <c r="N114" s="62">
        <f t="shared" si="5"/>
        <v>0</v>
      </c>
      <c r="O114" s="49">
        <f>直径材積計算!U111</f>
        <v>0</v>
      </c>
      <c r="P114" s="55">
        <f>直径材積計算!K227</f>
        <v>1598.9219320119719</v>
      </c>
      <c r="Q114" s="204">
        <f>直径材積計算!N111</f>
        <v>914.27422972484783</v>
      </c>
      <c r="R114" s="49">
        <f>直径材積計算!T111</f>
        <v>1322.5740679618391</v>
      </c>
      <c r="S114" s="49">
        <f>直径材積計算!S111</f>
        <v>34.537889678996962</v>
      </c>
      <c r="T114" s="84">
        <f>直径材積計算!Y111</f>
        <v>0.90888257006240225</v>
      </c>
      <c r="V114" s="153">
        <v>119</v>
      </c>
    </row>
    <row r="115" spans="4:22">
      <c r="D115" s="48">
        <v>120</v>
      </c>
      <c r="E115" s="55">
        <f>IF(D115&lt;入力!$C$17,NA(),IF(D115&gt;入力!$H$48,NA(),D115))</f>
        <v>120</v>
      </c>
      <c r="F115" s="55">
        <f>IF(E115&gt;入力!$C$17,IF(Q114&gt;=P114,P115,(F114-L114)*(1-$B$27)),IF(E115=入力!$C$17,入力!$C$18,NA()))</f>
        <v>914.27422972484783</v>
      </c>
      <c r="G115" s="49">
        <f>'樹高計算 '!N113</f>
        <v>33.335489779502211</v>
      </c>
      <c r="H115" s="49">
        <f>直径材積計算!L112</f>
        <v>1325.3314297834042</v>
      </c>
      <c r="I115" s="49">
        <f>直径材積計算!I112</f>
        <v>34.553949826257373</v>
      </c>
      <c r="J115" s="84">
        <f t="shared" si="4"/>
        <v>1.4495994600900701</v>
      </c>
      <c r="K115" s="84">
        <f>ROUNDDOWN(直径材積計算!X112,2)</f>
        <v>0.9</v>
      </c>
      <c r="L115" s="55">
        <f t="shared" si="7"/>
        <v>0</v>
      </c>
      <c r="M115" s="62" t="e">
        <f>VLOOKUP(E115,入力!$H$38:$I$47,2,FALSE)</f>
        <v>#N/A</v>
      </c>
      <c r="N115" s="62">
        <f t="shared" si="5"/>
        <v>0</v>
      </c>
      <c r="O115" s="49">
        <f>直径材積計算!U112</f>
        <v>0</v>
      </c>
      <c r="P115" s="55">
        <f>直径材積計算!K228</f>
        <v>1597.8837895779498</v>
      </c>
      <c r="Q115" s="204">
        <f>直径材積計算!N112</f>
        <v>914.27422972484783</v>
      </c>
      <c r="R115" s="49">
        <f>直径材積計算!T112</f>
        <v>1325.3314297834042</v>
      </c>
      <c r="S115" s="49">
        <f>直径材積計算!S112</f>
        <v>34.553949826257373</v>
      </c>
      <c r="T115" s="84">
        <f>直径材積計算!Y112</f>
        <v>0.90935740821179889</v>
      </c>
      <c r="V115" s="153">
        <v>120</v>
      </c>
    </row>
    <row r="116" spans="4:22">
      <c r="L116" s="20">
        <f>COUNT(L5:L115)</f>
        <v>111</v>
      </c>
    </row>
    <row r="117" spans="4:22">
      <c r="L117" s="20">
        <f>COUNTIF(L5:L115,0)</f>
        <v>108</v>
      </c>
    </row>
    <row r="118" spans="4:22">
      <c r="L118" s="20">
        <f>L116-L117</f>
        <v>3</v>
      </c>
    </row>
    <row r="119" spans="4:22">
      <c r="D119" s="48">
        <v>1</v>
      </c>
      <c r="E119" s="55">
        <v>1</v>
      </c>
      <c r="F119" s="48">
        <v>2</v>
      </c>
      <c r="G119" s="48">
        <v>3</v>
      </c>
      <c r="H119" s="48">
        <v>4</v>
      </c>
      <c r="I119" s="48">
        <v>5</v>
      </c>
      <c r="J119" s="48"/>
      <c r="K119" s="48"/>
      <c r="L119" s="48"/>
      <c r="M119" s="48"/>
      <c r="N119" s="48"/>
      <c r="O119" s="48"/>
      <c r="P119" s="48"/>
      <c r="Q119" s="204"/>
      <c r="R119" s="48"/>
      <c r="S119" s="48"/>
      <c r="T119" s="48"/>
      <c r="V119" s="153">
        <v>1</v>
      </c>
    </row>
    <row r="120" spans="4:22">
      <c r="D120" s="48" t="s">
        <v>1</v>
      </c>
      <c r="E120" s="55" t="s">
        <v>1</v>
      </c>
      <c r="F120" s="48" t="s">
        <v>69</v>
      </c>
      <c r="G120" s="48" t="s">
        <v>2</v>
      </c>
      <c r="H120" s="48" t="s">
        <v>4</v>
      </c>
      <c r="I120" s="48" t="s">
        <v>3</v>
      </c>
      <c r="J120" s="48"/>
      <c r="K120" s="48"/>
      <c r="L120" s="48"/>
      <c r="M120" s="48"/>
      <c r="N120" s="48"/>
      <c r="O120" s="48"/>
      <c r="P120" s="48"/>
      <c r="Q120" s="204"/>
      <c r="R120" s="48"/>
      <c r="S120" s="48"/>
      <c r="T120" s="48"/>
      <c r="V120" s="153" t="s">
        <v>1</v>
      </c>
    </row>
    <row r="121" spans="4:22">
      <c r="D121" s="48">
        <v>10</v>
      </c>
      <c r="E121" s="55">
        <v>10</v>
      </c>
      <c r="F121" s="49">
        <f t="shared" ref="F121:I130" si="8">VLOOKUP($E121,$E$5:$Q$115,F$119,FALSE)</f>
        <v>2400</v>
      </c>
      <c r="G121" s="49">
        <f t="shared" si="8"/>
        <v>7.005377668918638</v>
      </c>
      <c r="H121" s="49">
        <f t="shared" si="8"/>
        <v>102.2800111677394</v>
      </c>
      <c r="I121" s="49">
        <f t="shared" si="8"/>
        <v>11.138932082557449</v>
      </c>
      <c r="J121" s="49"/>
      <c r="K121" s="49"/>
      <c r="L121" s="49"/>
      <c r="M121" s="49"/>
      <c r="N121" s="49"/>
      <c r="O121" s="49"/>
      <c r="P121" s="49"/>
      <c r="Q121" s="204"/>
      <c r="R121" s="49"/>
      <c r="S121" s="49"/>
      <c r="T121" s="49"/>
      <c r="V121" s="153">
        <v>10</v>
      </c>
    </row>
    <row r="122" spans="4:22">
      <c r="D122" s="48">
        <v>15</v>
      </c>
      <c r="E122" s="55">
        <v>15</v>
      </c>
      <c r="F122" s="49">
        <f t="shared" si="8"/>
        <v>2321.3807070057342</v>
      </c>
      <c r="G122" s="49">
        <f t="shared" si="8"/>
        <v>10.290382189294702</v>
      </c>
      <c r="H122" s="49">
        <f t="shared" si="8"/>
        <v>219.66196464449416</v>
      </c>
      <c r="I122" s="49">
        <f t="shared" si="8"/>
        <v>14.15072273584609</v>
      </c>
      <c r="J122" s="49"/>
      <c r="K122" s="49"/>
      <c r="L122" s="49"/>
      <c r="M122" s="49"/>
      <c r="N122" s="49"/>
      <c r="O122" s="49"/>
      <c r="P122" s="49"/>
      <c r="Q122" s="204"/>
      <c r="R122" s="49"/>
      <c r="S122" s="49"/>
      <c r="T122" s="49"/>
      <c r="V122" s="153">
        <v>15</v>
      </c>
    </row>
    <row r="123" spans="4:22">
      <c r="D123" s="48">
        <v>20</v>
      </c>
      <c r="E123" s="55">
        <v>20</v>
      </c>
      <c r="F123" s="49">
        <f t="shared" si="8"/>
        <v>2224.7628122291453</v>
      </c>
      <c r="G123" s="49">
        <f t="shared" si="8"/>
        <v>13.261749704127018</v>
      </c>
      <c r="H123" s="49">
        <f t="shared" si="8"/>
        <v>349.36656442215394</v>
      </c>
      <c r="I123" s="49">
        <f t="shared" si="8"/>
        <v>16.343495164728143</v>
      </c>
      <c r="J123" s="49"/>
      <c r="K123" s="49"/>
      <c r="L123" s="49"/>
      <c r="M123" s="49"/>
      <c r="N123" s="49"/>
      <c r="O123" s="49"/>
      <c r="P123" s="49"/>
      <c r="Q123" s="204"/>
      <c r="R123" s="49"/>
      <c r="S123" s="49"/>
      <c r="T123" s="49"/>
      <c r="V123" s="153">
        <v>20</v>
      </c>
    </row>
    <row r="124" spans="4:22">
      <c r="D124" s="48">
        <v>25</v>
      </c>
      <c r="E124" s="55">
        <v>25</v>
      </c>
      <c r="F124" s="49">
        <f t="shared" si="8"/>
        <v>2134.5439878349262</v>
      </c>
      <c r="G124" s="49">
        <f t="shared" si="8"/>
        <v>15.919929651162615</v>
      </c>
      <c r="H124" s="49">
        <f t="shared" si="8"/>
        <v>479.64589023952368</v>
      </c>
      <c r="I124" s="49">
        <f t="shared" si="8"/>
        <v>18.04537187006207</v>
      </c>
      <c r="J124" s="49"/>
      <c r="K124" s="49"/>
      <c r="L124" s="49"/>
      <c r="M124" s="49"/>
      <c r="N124" s="49"/>
      <c r="O124" s="49"/>
      <c r="P124" s="49"/>
      <c r="Q124" s="204"/>
      <c r="R124" s="49"/>
      <c r="S124" s="49"/>
      <c r="T124" s="49"/>
      <c r="V124" s="153">
        <v>25</v>
      </c>
    </row>
    <row r="125" spans="4:22">
      <c r="D125" s="48">
        <v>30</v>
      </c>
      <c r="E125" s="55">
        <v>30</v>
      </c>
      <c r="F125" s="49">
        <f t="shared" si="8"/>
        <v>2054.2742297248478</v>
      </c>
      <c r="G125" s="49">
        <f t="shared" si="8"/>
        <v>18.278708131736447</v>
      </c>
      <c r="H125" s="49">
        <f t="shared" si="8"/>
        <v>604.28400076205753</v>
      </c>
      <c r="I125" s="49">
        <f t="shared" si="8"/>
        <v>19.422304784112736</v>
      </c>
      <c r="J125" s="49"/>
      <c r="K125" s="49"/>
      <c r="L125" s="49"/>
      <c r="M125" s="49"/>
      <c r="N125" s="49"/>
      <c r="O125" s="49"/>
      <c r="P125" s="49"/>
      <c r="Q125" s="204"/>
      <c r="R125" s="49"/>
      <c r="S125" s="49"/>
      <c r="T125" s="49"/>
      <c r="V125" s="153">
        <v>30</v>
      </c>
    </row>
    <row r="126" spans="4:22">
      <c r="D126" s="48">
        <v>35</v>
      </c>
      <c r="E126" s="55">
        <v>35</v>
      </c>
      <c r="F126" s="49">
        <f t="shared" si="8"/>
        <v>1434.2742297248478</v>
      </c>
      <c r="G126" s="49">
        <f t="shared" si="8"/>
        <v>20.358566807421841</v>
      </c>
      <c r="H126" s="49">
        <f t="shared" si="8"/>
        <v>645.6577675810679</v>
      </c>
      <c r="I126" s="49">
        <f t="shared" si="8"/>
        <v>23.551802123586025</v>
      </c>
      <c r="J126" s="49"/>
      <c r="K126" s="49"/>
      <c r="L126" s="49"/>
      <c r="M126" s="49"/>
      <c r="N126" s="49"/>
      <c r="O126" s="49"/>
      <c r="P126" s="49"/>
      <c r="Q126" s="204"/>
      <c r="R126" s="49"/>
      <c r="S126" s="49"/>
      <c r="T126" s="49"/>
      <c r="V126" s="153">
        <v>35</v>
      </c>
    </row>
    <row r="127" spans="4:22">
      <c r="D127" s="48">
        <v>40</v>
      </c>
      <c r="E127" s="55">
        <v>40</v>
      </c>
      <c r="F127" s="49">
        <f t="shared" si="8"/>
        <v>1434.2742297248478</v>
      </c>
      <c r="G127" s="49">
        <f t="shared" si="8"/>
        <v>22.183923011010634</v>
      </c>
      <c r="H127" s="49">
        <f t="shared" si="8"/>
        <v>753.03828223992923</v>
      </c>
      <c r="I127" s="49">
        <f t="shared" si="8"/>
        <v>24.427211647899032</v>
      </c>
      <c r="J127" s="49"/>
      <c r="K127" s="49"/>
      <c r="L127" s="49"/>
      <c r="M127" s="49"/>
      <c r="N127" s="49"/>
      <c r="O127" s="49"/>
      <c r="P127" s="49"/>
      <c r="Q127" s="204"/>
      <c r="R127" s="49"/>
      <c r="S127" s="49"/>
      <c r="T127" s="49"/>
      <c r="V127" s="153">
        <v>40</v>
      </c>
    </row>
    <row r="128" spans="4:22">
      <c r="D128" s="48">
        <v>45</v>
      </c>
      <c r="E128" s="55">
        <v>45</v>
      </c>
      <c r="F128" s="49">
        <f t="shared" si="8"/>
        <v>1144.2742297248478</v>
      </c>
      <c r="G128" s="49">
        <f t="shared" si="8"/>
        <v>23.780979559582203</v>
      </c>
      <c r="H128" s="49">
        <f t="shared" si="8"/>
        <v>786.15536229490056</v>
      </c>
      <c r="I128" s="49">
        <f t="shared" si="8"/>
        <v>27.509615816911396</v>
      </c>
      <c r="J128" s="49"/>
      <c r="K128" s="49"/>
      <c r="L128" s="49"/>
      <c r="M128" s="49"/>
      <c r="N128" s="49"/>
      <c r="O128" s="49"/>
      <c r="P128" s="49"/>
      <c r="Q128" s="204"/>
      <c r="R128" s="49"/>
      <c r="S128" s="49"/>
      <c r="T128" s="49"/>
      <c r="V128" s="153">
        <v>45</v>
      </c>
    </row>
    <row r="129" spans="4:22">
      <c r="D129" s="48">
        <v>50</v>
      </c>
      <c r="E129" s="55">
        <v>50</v>
      </c>
      <c r="F129" s="49">
        <f t="shared" si="8"/>
        <v>1144.2742297248478</v>
      </c>
      <c r="G129" s="49">
        <f t="shared" si="8"/>
        <v>25.175839841701567</v>
      </c>
      <c r="H129" s="49">
        <f t="shared" si="8"/>
        <v>871.23999755514399</v>
      </c>
      <c r="I129" s="49">
        <f t="shared" si="8"/>
        <v>28.189344270051308</v>
      </c>
      <c r="J129" s="49"/>
      <c r="K129" s="49"/>
      <c r="L129" s="49"/>
      <c r="M129" s="49"/>
      <c r="N129" s="49"/>
      <c r="O129" s="49"/>
      <c r="P129" s="49"/>
      <c r="Q129" s="204"/>
      <c r="R129" s="49"/>
      <c r="S129" s="49"/>
      <c r="T129" s="49"/>
      <c r="V129" s="153">
        <v>50</v>
      </c>
    </row>
    <row r="130" spans="4:22">
      <c r="D130" s="48">
        <v>55</v>
      </c>
      <c r="E130" s="55">
        <v>55</v>
      </c>
      <c r="F130" s="49">
        <f t="shared" si="8"/>
        <v>1144.2742297248478</v>
      </c>
      <c r="G130" s="49">
        <f t="shared" si="8"/>
        <v>26.393136822696903</v>
      </c>
      <c r="H130" s="49">
        <f t="shared" si="8"/>
        <v>947.68302598946764</v>
      </c>
      <c r="I130" s="49">
        <f t="shared" si="8"/>
        <v>28.746908057465127</v>
      </c>
      <c r="J130" s="49"/>
      <c r="K130" s="49"/>
      <c r="L130" s="49"/>
      <c r="M130" s="49"/>
      <c r="N130" s="49"/>
      <c r="O130" s="49"/>
      <c r="P130" s="49"/>
      <c r="Q130" s="204"/>
      <c r="R130" s="49"/>
      <c r="S130" s="49"/>
      <c r="T130" s="49"/>
      <c r="V130" s="153">
        <v>55</v>
      </c>
    </row>
    <row r="131" spans="4:22">
      <c r="D131" s="48">
        <v>60</v>
      </c>
      <c r="E131" s="55">
        <v>60</v>
      </c>
      <c r="F131" s="49">
        <f t="shared" ref="F131:I143" si="9">VLOOKUP($E131,$E$5:$Q$115,F$119,FALSE)</f>
        <v>914.27422972484783</v>
      </c>
      <c r="G131" s="49">
        <f t="shared" si="9"/>
        <v>27.455270862155562</v>
      </c>
      <c r="H131" s="49">
        <f t="shared" si="9"/>
        <v>937.48501134342212</v>
      </c>
      <c r="I131" s="49">
        <f t="shared" si="9"/>
        <v>31.890739177455135</v>
      </c>
      <c r="J131" s="49"/>
      <c r="K131" s="49"/>
      <c r="L131" s="49"/>
      <c r="M131" s="49"/>
      <c r="N131" s="49"/>
      <c r="O131" s="49"/>
      <c r="P131" s="49"/>
      <c r="Q131" s="204"/>
      <c r="R131" s="49"/>
      <c r="S131" s="49"/>
      <c r="T131" s="49"/>
      <c r="V131" s="153">
        <v>60</v>
      </c>
    </row>
    <row r="132" spans="4:22">
      <c r="D132" s="48">
        <v>65</v>
      </c>
      <c r="E132" s="55">
        <v>65</v>
      </c>
      <c r="F132" s="49">
        <f t="shared" si="9"/>
        <v>914.27422972484783</v>
      </c>
      <c r="G132" s="49">
        <f t="shared" si="9"/>
        <v>28.382142898926077</v>
      </c>
      <c r="H132" s="49">
        <f t="shared" si="9"/>
        <v>995.80436160353179</v>
      </c>
      <c r="I132" s="49">
        <f t="shared" si="9"/>
        <v>32.353200745050863</v>
      </c>
      <c r="J132" s="49"/>
      <c r="K132" s="49"/>
      <c r="L132" s="49"/>
      <c r="M132" s="49"/>
      <c r="N132" s="49"/>
      <c r="O132" s="49"/>
      <c r="P132" s="49"/>
      <c r="Q132" s="204"/>
      <c r="R132" s="49"/>
      <c r="S132" s="49"/>
      <c r="T132" s="49"/>
      <c r="V132" s="153">
        <v>65</v>
      </c>
    </row>
    <row r="133" spans="4:22">
      <c r="D133" s="48">
        <v>70</v>
      </c>
      <c r="E133" s="55">
        <v>70</v>
      </c>
      <c r="F133" s="49">
        <f t="shared" si="9"/>
        <v>914.27422972484783</v>
      </c>
      <c r="G133" s="49">
        <f t="shared" si="9"/>
        <v>29.191199120888513</v>
      </c>
      <c r="H133" s="49">
        <f t="shared" si="9"/>
        <v>1047.6174790236453</v>
      </c>
      <c r="I133" s="49">
        <f t="shared" si="9"/>
        <v>32.742686276885834</v>
      </c>
      <c r="J133" s="49"/>
      <c r="K133" s="49"/>
      <c r="L133" s="49"/>
      <c r="M133" s="49"/>
      <c r="N133" s="49"/>
      <c r="O133" s="49"/>
      <c r="P133" s="49"/>
      <c r="Q133" s="204"/>
      <c r="R133" s="49"/>
      <c r="S133" s="49"/>
      <c r="T133" s="49"/>
      <c r="V133" s="153">
        <v>70</v>
      </c>
    </row>
    <row r="134" spans="4:22">
      <c r="D134" s="48">
        <v>75</v>
      </c>
      <c r="E134" s="55">
        <v>75</v>
      </c>
      <c r="F134" s="49">
        <f t="shared" si="9"/>
        <v>914.27422972484783</v>
      </c>
      <c r="G134" s="49">
        <f t="shared" si="9"/>
        <v>29.897631157755349</v>
      </c>
      <c r="H134" s="49">
        <f t="shared" si="9"/>
        <v>1093.5279885767359</v>
      </c>
      <c r="I134" s="49">
        <f t="shared" si="9"/>
        <v>33.072496687320559</v>
      </c>
      <c r="J134" s="49"/>
      <c r="K134" s="49"/>
      <c r="L134" s="49"/>
      <c r="M134" s="49"/>
      <c r="N134" s="49"/>
      <c r="O134" s="49"/>
      <c r="P134" s="49"/>
      <c r="Q134" s="204"/>
      <c r="R134" s="49"/>
      <c r="S134" s="49"/>
      <c r="T134" s="49"/>
      <c r="V134" s="153">
        <v>75</v>
      </c>
    </row>
    <row r="135" spans="4:22">
      <c r="D135" s="48">
        <v>80</v>
      </c>
      <c r="E135" s="55">
        <v>80</v>
      </c>
      <c r="F135" s="49">
        <f t="shared" si="9"/>
        <v>914.27422972484783</v>
      </c>
      <c r="G135" s="49">
        <f t="shared" si="9"/>
        <v>30.514631570930302</v>
      </c>
      <c r="H135" s="49">
        <f t="shared" si="9"/>
        <v>1134.1234003799025</v>
      </c>
      <c r="I135" s="49">
        <f t="shared" si="9"/>
        <v>33.353062403968352</v>
      </c>
      <c r="J135" s="49"/>
      <c r="K135" s="49"/>
      <c r="L135" s="49"/>
      <c r="M135" s="49"/>
      <c r="N135" s="49"/>
      <c r="O135" s="49"/>
      <c r="P135" s="49"/>
      <c r="Q135" s="204"/>
      <c r="R135" s="49"/>
      <c r="S135" s="49"/>
      <c r="T135" s="49"/>
      <c r="V135" s="153">
        <v>80</v>
      </c>
    </row>
    <row r="136" spans="4:22">
      <c r="D136" s="48">
        <v>85</v>
      </c>
      <c r="E136" s="55">
        <v>85</v>
      </c>
      <c r="F136" s="49">
        <f t="shared" si="9"/>
        <v>914.27422972484783</v>
      </c>
      <c r="G136" s="49">
        <f t="shared" si="9"/>
        <v>31.053651329577239</v>
      </c>
      <c r="H136" s="49">
        <f t="shared" si="9"/>
        <v>1169.9586042453445</v>
      </c>
      <c r="I136" s="49">
        <f t="shared" si="9"/>
        <v>33.592667046640045</v>
      </c>
      <c r="J136" s="49"/>
      <c r="K136" s="49"/>
      <c r="L136" s="49"/>
      <c r="M136" s="49"/>
      <c r="N136" s="49"/>
      <c r="O136" s="49"/>
      <c r="P136" s="49"/>
      <c r="Q136" s="204"/>
      <c r="R136" s="49"/>
      <c r="S136" s="49"/>
      <c r="T136" s="49"/>
      <c r="V136" s="153">
        <v>85</v>
      </c>
    </row>
    <row r="137" spans="4:22">
      <c r="D137" s="48">
        <v>90</v>
      </c>
      <c r="E137" s="55">
        <v>90</v>
      </c>
      <c r="F137" s="49">
        <f t="shared" si="9"/>
        <v>914.27422972484783</v>
      </c>
      <c r="G137" s="49">
        <f t="shared" si="9"/>
        <v>31.52463577874099</v>
      </c>
      <c r="H137" s="49">
        <f t="shared" si="9"/>
        <v>1201.5479094121258</v>
      </c>
      <c r="I137" s="49">
        <f t="shared" si="9"/>
        <v>33.797966223996639</v>
      </c>
      <c r="J137" s="49"/>
      <c r="K137" s="49"/>
      <c r="L137" s="49"/>
      <c r="M137" s="49"/>
      <c r="N137" s="49"/>
      <c r="O137" s="49"/>
      <c r="P137" s="49"/>
      <c r="Q137" s="204"/>
      <c r="R137" s="49"/>
      <c r="S137" s="49"/>
      <c r="T137" s="49"/>
      <c r="V137" s="153">
        <v>90</v>
      </c>
    </row>
    <row r="138" spans="4:22">
      <c r="D138" s="48">
        <v>95</v>
      </c>
      <c r="E138" s="55">
        <v>95</v>
      </c>
      <c r="F138" s="49">
        <f t="shared" si="9"/>
        <v>914.27422972484783</v>
      </c>
      <c r="G138" s="49">
        <f t="shared" si="9"/>
        <v>31.936231631986093</v>
      </c>
      <c r="H138" s="49">
        <f t="shared" si="9"/>
        <v>1229.3620584838163</v>
      </c>
      <c r="I138" s="49">
        <f t="shared" si="9"/>
        <v>33.974363919594246</v>
      </c>
      <c r="J138" s="49"/>
      <c r="K138" s="49"/>
      <c r="L138" s="49"/>
      <c r="M138" s="49"/>
      <c r="N138" s="49"/>
      <c r="O138" s="49"/>
      <c r="P138" s="49"/>
      <c r="Q138" s="204"/>
      <c r="R138" s="49"/>
      <c r="S138" s="49"/>
      <c r="T138" s="49"/>
      <c r="V138" s="153">
        <v>95</v>
      </c>
    </row>
    <row r="139" spans="4:22">
      <c r="D139" s="48">
        <v>100</v>
      </c>
      <c r="E139" s="55">
        <v>100</v>
      </c>
      <c r="F139" s="49">
        <f t="shared" si="9"/>
        <v>914.27422972484783</v>
      </c>
      <c r="G139" s="49">
        <f t="shared" si="9"/>
        <v>32.295965004303454</v>
      </c>
      <c r="H139" s="49">
        <f t="shared" si="9"/>
        <v>1253.8281176396088</v>
      </c>
      <c r="I139" s="49">
        <f t="shared" si="9"/>
        <v>34.126289109021592</v>
      </c>
      <c r="J139" s="49"/>
      <c r="K139" s="49"/>
      <c r="L139" s="49"/>
      <c r="M139" s="49"/>
      <c r="N139" s="49"/>
      <c r="O139" s="49"/>
      <c r="P139" s="49"/>
      <c r="Q139" s="204"/>
      <c r="R139" s="49"/>
      <c r="S139" s="49"/>
      <c r="T139" s="49"/>
      <c r="V139" s="153">
        <v>100</v>
      </c>
    </row>
    <row r="140" spans="4:22">
      <c r="D140" s="48">
        <v>105</v>
      </c>
      <c r="E140" s="55">
        <v>105</v>
      </c>
      <c r="F140" s="49">
        <f t="shared" si="9"/>
        <v>914.27422972484783</v>
      </c>
      <c r="G140" s="49">
        <f t="shared" si="9"/>
        <v>32.610393421542035</v>
      </c>
      <c r="H140" s="49">
        <f t="shared" si="9"/>
        <v>1275.3310048885899</v>
      </c>
      <c r="I140" s="49">
        <f t="shared" si="9"/>
        <v>34.257401791260442</v>
      </c>
      <c r="J140" s="49"/>
      <c r="K140" s="49"/>
      <c r="L140" s="49"/>
      <c r="M140" s="49"/>
      <c r="N140" s="49"/>
      <c r="O140" s="49"/>
      <c r="P140" s="49"/>
      <c r="Q140" s="204"/>
      <c r="R140" s="49"/>
      <c r="S140" s="49"/>
      <c r="T140" s="49"/>
      <c r="V140" s="153">
        <v>105</v>
      </c>
    </row>
    <row r="141" spans="4:22">
      <c r="D141" s="48">
        <v>110</v>
      </c>
      <c r="E141" s="55">
        <v>110</v>
      </c>
      <c r="F141" s="49">
        <f t="shared" si="9"/>
        <v>914.27422972484783</v>
      </c>
      <c r="G141" s="49">
        <f t="shared" si="9"/>
        <v>32.885235490956617</v>
      </c>
      <c r="H141" s="49">
        <f t="shared" si="9"/>
        <v>1294.2159167233617</v>
      </c>
      <c r="I141" s="49">
        <f t="shared" si="9"/>
        <v>34.370748513622367</v>
      </c>
      <c r="J141" s="49"/>
      <c r="K141" s="49"/>
      <c r="L141" s="49"/>
      <c r="M141" s="49"/>
      <c r="N141" s="49"/>
      <c r="O141" s="49"/>
      <c r="P141" s="49"/>
      <c r="Q141" s="204"/>
      <c r="R141" s="49"/>
      <c r="S141" s="49"/>
      <c r="T141" s="49"/>
      <c r="V141" s="153">
        <v>110</v>
      </c>
    </row>
    <row r="142" spans="4:22">
      <c r="D142" s="48">
        <v>115</v>
      </c>
      <c r="E142" s="55">
        <v>115</v>
      </c>
      <c r="F142" s="49">
        <f t="shared" si="9"/>
        <v>914.27422972484783</v>
      </c>
      <c r="G142" s="49">
        <f t="shared" si="9"/>
        <v>33.1254817548188</v>
      </c>
      <c r="H142" s="49">
        <f t="shared" si="9"/>
        <v>1310.7912050489779</v>
      </c>
      <c r="I142" s="49">
        <f t="shared" si="9"/>
        <v>34.468881313684811</v>
      </c>
      <c r="J142" s="49"/>
      <c r="K142" s="49"/>
      <c r="L142" s="49"/>
      <c r="M142" s="49"/>
      <c r="N142" s="49"/>
      <c r="O142" s="49"/>
      <c r="P142" s="49"/>
      <c r="Q142" s="204"/>
      <c r="R142" s="49"/>
      <c r="S142" s="49"/>
      <c r="T142" s="49"/>
      <c r="V142" s="153">
        <v>115</v>
      </c>
    </row>
    <row r="143" spans="4:22">
      <c r="D143" s="48">
        <v>120</v>
      </c>
      <c r="E143" s="55">
        <v>120</v>
      </c>
      <c r="F143" s="49">
        <f t="shared" si="9"/>
        <v>914.27422972484783</v>
      </c>
      <c r="G143" s="49">
        <f t="shared" si="9"/>
        <v>33.335489779502211</v>
      </c>
      <c r="H143" s="49">
        <f t="shared" si="9"/>
        <v>1325.3314297834042</v>
      </c>
      <c r="I143" s="49">
        <f t="shared" si="9"/>
        <v>34.553949826257373</v>
      </c>
      <c r="J143" s="49"/>
      <c r="K143" s="49"/>
      <c r="L143" s="49"/>
      <c r="M143" s="49"/>
      <c r="N143" s="49"/>
      <c r="O143" s="49"/>
      <c r="P143" s="49"/>
      <c r="Q143" s="204"/>
      <c r="R143" s="49"/>
      <c r="S143" s="49"/>
      <c r="T143" s="49"/>
      <c r="V143" s="153">
        <v>120</v>
      </c>
    </row>
  </sheetData>
  <phoneticPr fontId="1"/>
  <conditionalFormatting sqref="L5:O115">
    <cfRule type="cellIs" dxfId="0" priority="1" operator="greaterThan">
      <formula>0</formula>
    </cfRule>
  </conditionalFormatting>
  <dataValidations count="2">
    <dataValidation type="list" allowBlank="1" showInputMessage="1" showErrorMessage="1" sqref="C6 C28 C17">
      <formula1>$W$23:$W$25</formula1>
    </dataValidation>
    <dataValidation type="list" allowBlank="1" showInputMessage="1" showErrorMessage="1" sqref="C20 C9 C31">
      <formula1>$W$8:$W$14</formula1>
    </dataValidation>
  </dataValidations>
  <pageMargins left="0.7" right="0.7" top="0.75" bottom="0.75" header="0.3" footer="0.3"/>
  <pageSetup paperSize="9" orientation="portrait" copies="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J231"/>
  <sheetViews>
    <sheetView zoomScale="70" zoomScaleNormal="70" workbookViewId="0">
      <pane xSplit="1" ySplit="2" topLeftCell="B3" activePane="bottomRight" state="frozen"/>
      <selection activeCell="Q38" sqref="Q38"/>
      <selection pane="topRight" activeCell="Q38" sqref="Q38"/>
      <selection pane="bottomLeft" activeCell="Q38" sqref="Q38"/>
      <selection pane="bottomRight" activeCell="Q38" sqref="Q38"/>
    </sheetView>
  </sheetViews>
  <sheetFormatPr defaultRowHeight="18.75"/>
  <cols>
    <col min="1" max="1" width="7.125" style="18" bestFit="1" customWidth="1"/>
    <col min="2" max="5" width="10" style="85" customWidth="1"/>
    <col min="6" max="6" width="11" customWidth="1"/>
    <col min="7" max="14" width="11" style="6" customWidth="1"/>
    <col min="15" max="16" width="9.125" style="20" customWidth="1"/>
    <col min="18" max="20" width="11" style="6" customWidth="1"/>
    <col min="21" max="21" width="11" style="19" customWidth="1"/>
    <col min="22" max="25" width="9" style="6"/>
    <col min="27" max="27" width="18.375" style="67" bestFit="1" customWidth="1"/>
    <col min="28" max="28" width="40.375" style="68" bestFit="1" customWidth="1"/>
    <col min="31" max="31" width="19.75" bestFit="1" customWidth="1"/>
    <col min="32" max="32" width="22.125" bestFit="1" customWidth="1"/>
    <col min="33" max="34" width="9" style="6"/>
    <col min="35" max="35" width="5.625" bestFit="1" customWidth="1"/>
    <col min="37" max="16384" width="9" style="6"/>
  </cols>
  <sheetData>
    <row r="1" spans="1:36" s="5" customFormat="1" ht="19.5" thickBot="1">
      <c r="A1" s="1" t="s">
        <v>5</v>
      </c>
      <c r="B1" s="82">
        <v>1</v>
      </c>
      <c r="C1" s="82">
        <v>2</v>
      </c>
      <c r="D1" s="82">
        <v>3</v>
      </c>
      <c r="E1" s="82">
        <v>4</v>
      </c>
      <c r="F1" s="2" t="s">
        <v>6</v>
      </c>
      <c r="G1" s="3" t="s">
        <v>7</v>
      </c>
      <c r="H1" s="3" t="s">
        <v>8</v>
      </c>
      <c r="I1" s="3" t="s">
        <v>9</v>
      </c>
      <c r="J1" s="3" t="s">
        <v>10</v>
      </c>
      <c r="K1" s="3" t="s">
        <v>11</v>
      </c>
      <c r="L1" s="3" t="s">
        <v>12</v>
      </c>
      <c r="M1" s="3" t="s">
        <v>13</v>
      </c>
      <c r="N1" s="3" t="s">
        <v>145</v>
      </c>
      <c r="O1" s="86">
        <v>1</v>
      </c>
      <c r="P1" s="86">
        <v>2</v>
      </c>
      <c r="Q1" s="87" t="s">
        <v>14</v>
      </c>
      <c r="R1" s="451" t="s">
        <v>14</v>
      </c>
      <c r="S1" s="451"/>
      <c r="T1" s="451"/>
      <c r="U1" s="451"/>
      <c r="V1" s="451"/>
      <c r="W1" s="451"/>
      <c r="X1" s="451"/>
      <c r="Y1" s="4"/>
      <c r="Z1" s="159" t="s">
        <v>0</v>
      </c>
      <c r="AA1" s="160">
        <f>入力!C24</f>
        <v>1.7</v>
      </c>
      <c r="AC1" s="20"/>
      <c r="AD1" s="20"/>
      <c r="AE1" s="20"/>
      <c r="AF1" s="20"/>
      <c r="AI1" s="20"/>
      <c r="AJ1" s="20"/>
    </row>
    <row r="2" spans="1:36" s="13" customFormat="1" ht="26.25" thickBot="1">
      <c r="A2" s="7" t="s">
        <v>15</v>
      </c>
      <c r="B2" s="83" t="s">
        <v>96</v>
      </c>
      <c r="C2" s="83" t="s">
        <v>16</v>
      </c>
      <c r="D2" s="83" t="s">
        <v>97</v>
      </c>
      <c r="E2" s="83" t="s">
        <v>98</v>
      </c>
      <c r="F2" s="8" t="s">
        <v>17</v>
      </c>
      <c r="G2" s="9" t="s">
        <v>146</v>
      </c>
      <c r="H2" s="9" t="s">
        <v>146</v>
      </c>
      <c r="I2" s="9" t="s">
        <v>18</v>
      </c>
      <c r="J2" s="9" t="s">
        <v>146</v>
      </c>
      <c r="K2" s="9" t="s">
        <v>18</v>
      </c>
      <c r="L2" s="9" t="s">
        <v>18</v>
      </c>
      <c r="M2" s="9" t="s">
        <v>18</v>
      </c>
      <c r="N2" s="9" t="s">
        <v>147</v>
      </c>
      <c r="O2" s="88" t="s">
        <v>88</v>
      </c>
      <c r="P2" s="88" t="s">
        <v>16</v>
      </c>
      <c r="Q2" s="89" t="s">
        <v>148</v>
      </c>
      <c r="R2" s="10" t="s">
        <v>149</v>
      </c>
      <c r="S2" s="10" t="s">
        <v>8</v>
      </c>
      <c r="T2" s="10" t="s">
        <v>9</v>
      </c>
      <c r="U2" s="10" t="s">
        <v>19</v>
      </c>
      <c r="V2" s="11" t="s">
        <v>20</v>
      </c>
      <c r="W2" s="11" t="s">
        <v>21</v>
      </c>
      <c r="X2" s="11" t="s">
        <v>22</v>
      </c>
      <c r="Y2" s="12"/>
      <c r="Z2" s="63" t="s">
        <v>80</v>
      </c>
      <c r="AA2" s="64">
        <v>1</v>
      </c>
      <c r="AB2" s="65" t="str">
        <f>VLOOKUP(AA2,AI3:AJ6,2,FALSE)</f>
        <v>Richards</v>
      </c>
      <c r="AC2" s="66"/>
      <c r="AD2" s="63" t="s">
        <v>80</v>
      </c>
      <c r="AE2" s="64">
        <v>2</v>
      </c>
      <c r="AF2" s="65" t="str">
        <f>VLOOKUP(AE2,AI9:AJ10,2,FALSE)</f>
        <v>Logistic</v>
      </c>
      <c r="AI2" s="66"/>
      <c r="AJ2" s="66"/>
    </row>
    <row r="3" spans="1:36" ht="17.25" customHeight="1">
      <c r="A3" s="14">
        <f>'b（手動）計算用'!E5</f>
        <v>10</v>
      </c>
      <c r="B3" s="84">
        <f t="shared" ref="B3:B66" si="0">$AB$9*(1+ ($AB$11-1)*EXP(-$AB$12*(A3-$AB$10)) )^(1/(1-$AB$11))</f>
        <v>6.4959381617347329</v>
      </c>
      <c r="C3" s="84">
        <f t="shared" ref="C3:C66" si="1">$AB$21/(1+ EXP(-$AB$23*(A3-$AB$22)) )</f>
        <v>0</v>
      </c>
      <c r="D3" s="84">
        <f t="shared" ref="D3:D66" si="2">$AB$32*EXP(-EXP(-$AB$34*(A3-$AB$33)) )</f>
        <v>0</v>
      </c>
      <c r="E3" s="84">
        <f t="shared" ref="E3:E66" si="3">$AB$43*(1-EXP(-$AB$45*(A3-$AB$44)))</f>
        <v>0</v>
      </c>
      <c r="F3" s="84">
        <f t="shared" ref="F3:F66" si="4">IF($AA$2=1,B3,IF($AA$2=2,C3,IF($AA$2=3,D3,E3)))</f>
        <v>6.4959381617347329</v>
      </c>
      <c r="G3" s="15">
        <f t="shared" ref="G3:M18" si="5">$F3+R3</f>
        <v>3.9487406258152067</v>
      </c>
      <c r="H3" s="15">
        <f t="shared" si="5"/>
        <v>4.7978064711217154</v>
      </c>
      <c r="I3" s="15">
        <f t="shared" si="5"/>
        <v>5.6468723164282242</v>
      </c>
      <c r="J3" s="15">
        <f t="shared" si="5"/>
        <v>6.4959381617347329</v>
      </c>
      <c r="K3" s="15">
        <f t="shared" si="5"/>
        <v>7.3450040070412417</v>
      </c>
      <c r="L3" s="15">
        <f t="shared" si="5"/>
        <v>8.1940698523477504</v>
      </c>
      <c r="M3" s="15">
        <f t="shared" si="5"/>
        <v>9.0431356976542592</v>
      </c>
      <c r="N3" s="15">
        <f t="shared" ref="N3:N7" si="6">J3-(($AA$1-2)*W3)</f>
        <v>7.005377668918638</v>
      </c>
      <c r="O3" s="84">
        <f>$AF$9*A3^$AF$10</f>
        <v>0</v>
      </c>
      <c r="P3" s="84">
        <f>$AF$19/(1+ EXP(-$AF$21*(A3-$AF$20)) )</f>
        <v>1.2735987679597631</v>
      </c>
      <c r="Q3" s="84">
        <f>IF($AE$2=1,O3,P3)</f>
        <v>1.2735987679597631</v>
      </c>
      <c r="R3" s="15">
        <f>-$Q3*2</f>
        <v>-2.5471975359195262</v>
      </c>
      <c r="S3" s="15">
        <f>-$Q3*4/3</f>
        <v>-1.6981316906130175</v>
      </c>
      <c r="T3" s="15">
        <f>-$Q3*2/3</f>
        <v>-0.84906584530650875</v>
      </c>
      <c r="U3" s="16">
        <v>0</v>
      </c>
      <c r="V3" s="15">
        <f>$Q3*2/3</f>
        <v>0.84906584530650875</v>
      </c>
      <c r="W3" s="15">
        <f>$Q3*4/3</f>
        <v>1.6981316906130175</v>
      </c>
      <c r="X3" s="15">
        <f>$Q3*2</f>
        <v>2.5471975359195262</v>
      </c>
      <c r="Y3" s="4"/>
      <c r="Z3">
        <v>1</v>
      </c>
      <c r="AA3" s="67" t="s">
        <v>24</v>
      </c>
      <c r="AB3" s="71" t="s">
        <v>150</v>
      </c>
      <c r="AD3">
        <v>1</v>
      </c>
      <c r="AE3" s="69" t="s">
        <v>24</v>
      </c>
      <c r="AF3" s="70" t="s">
        <v>84</v>
      </c>
      <c r="AI3">
        <v>1</v>
      </c>
      <c r="AJ3" t="s">
        <v>23</v>
      </c>
    </row>
    <row r="4" spans="1:36" ht="17.25" customHeight="1">
      <c r="A4" s="14">
        <f>'b（手動）計算用'!E6</f>
        <v>11</v>
      </c>
      <c r="B4" s="84">
        <f>$AB$9*(1+ ($AB$11-1)*EXP(-$AB$12*(A4-$AB$10)) )^(1/(1-$AB$11))</f>
        <v>7.15157422493726</v>
      </c>
      <c r="C4" s="84">
        <f t="shared" si="1"/>
        <v>0</v>
      </c>
      <c r="D4" s="84">
        <f t="shared" si="2"/>
        <v>0</v>
      </c>
      <c r="E4" s="84">
        <f t="shared" si="3"/>
        <v>0</v>
      </c>
      <c r="F4" s="84">
        <f t="shared" si="4"/>
        <v>7.15157422493726</v>
      </c>
      <c r="G4" s="15">
        <f t="shared" si="5"/>
        <v>4.4763514661192279</v>
      </c>
      <c r="H4" s="15">
        <f t="shared" si="5"/>
        <v>5.3680923857252392</v>
      </c>
      <c r="I4" s="15">
        <f t="shared" si="5"/>
        <v>6.2598333053312496</v>
      </c>
      <c r="J4" s="15">
        <f t="shared" si="5"/>
        <v>7.15157422493726</v>
      </c>
      <c r="K4" s="15">
        <f t="shared" si="5"/>
        <v>8.0433151445432713</v>
      </c>
      <c r="L4" s="15">
        <f t="shared" si="5"/>
        <v>8.9350560641492809</v>
      </c>
      <c r="M4" s="15">
        <f t="shared" si="5"/>
        <v>9.8267969837552922</v>
      </c>
      <c r="N4" s="15">
        <f t="shared" si="6"/>
        <v>7.6866187767008665</v>
      </c>
      <c r="O4" s="84">
        <f t="shared" ref="O4:O67" si="7">$AF$9*A4^$AF$10</f>
        <v>0</v>
      </c>
      <c r="P4" s="84">
        <f t="shared" ref="P4:P67" si="8">$AF$19/(1+ EXP(-$AF$21*(A4-$AF$20)) )</f>
        <v>1.3376113794090159</v>
      </c>
      <c r="Q4" s="84">
        <f t="shared" ref="Q4:Q67" si="9">IF($AE$2=1,O4,P4)</f>
        <v>1.3376113794090159</v>
      </c>
      <c r="R4" s="15">
        <f t="shared" ref="R4:R67" si="10">-$Q4*2</f>
        <v>-2.6752227588180317</v>
      </c>
      <c r="S4" s="15">
        <f t="shared" ref="S4:S67" si="11">-$Q4*4/3</f>
        <v>-1.7834818392120211</v>
      </c>
      <c r="T4" s="15">
        <f t="shared" ref="T4:T67" si="12">-$Q4*2/3</f>
        <v>-0.89174091960601054</v>
      </c>
      <c r="U4" s="16">
        <v>0</v>
      </c>
      <c r="V4" s="15">
        <f t="shared" ref="V4:V67" si="13">$Q4*2/3</f>
        <v>0.89174091960601054</v>
      </c>
      <c r="W4" s="15">
        <f t="shared" ref="W4:W67" si="14">$Q4*4/3</f>
        <v>1.7834818392120211</v>
      </c>
      <c r="X4" s="15">
        <f t="shared" ref="X4:X67" si="15">$Q4*2</f>
        <v>2.6752227588180317</v>
      </c>
      <c r="Y4" s="4"/>
      <c r="AA4" s="67" t="s">
        <v>85</v>
      </c>
      <c r="AB4" s="68">
        <v>4</v>
      </c>
      <c r="AE4" s="69" t="s">
        <v>85</v>
      </c>
      <c r="AF4" s="70">
        <v>2</v>
      </c>
      <c r="AI4">
        <v>2</v>
      </c>
      <c r="AJ4" t="s">
        <v>81</v>
      </c>
    </row>
    <row r="5" spans="1:36" ht="17.25" customHeight="1">
      <c r="A5" s="14">
        <f>'b（手動）計算用'!E7</f>
        <v>12</v>
      </c>
      <c r="B5" s="84">
        <f t="shared" si="0"/>
        <v>7.7948417887465959</v>
      </c>
      <c r="C5" s="84">
        <f t="shared" si="1"/>
        <v>0</v>
      </c>
      <c r="D5" s="84">
        <f t="shared" si="2"/>
        <v>0</v>
      </c>
      <c r="E5" s="84">
        <f t="shared" si="3"/>
        <v>0</v>
      </c>
      <c r="F5" s="84">
        <f t="shared" si="4"/>
        <v>7.7948417887465959</v>
      </c>
      <c r="G5" s="15">
        <f t="shared" si="5"/>
        <v>4.9889435133708844</v>
      </c>
      <c r="H5" s="15">
        <f t="shared" si="5"/>
        <v>5.9242429384961213</v>
      </c>
      <c r="I5" s="15">
        <f t="shared" si="5"/>
        <v>6.8595423636213582</v>
      </c>
      <c r="J5" s="15">
        <f t="shared" si="5"/>
        <v>7.7948417887465959</v>
      </c>
      <c r="K5" s="15">
        <f t="shared" si="5"/>
        <v>8.7301412138718337</v>
      </c>
      <c r="L5" s="15">
        <f t="shared" si="5"/>
        <v>9.6654406389970706</v>
      </c>
      <c r="M5" s="15">
        <f t="shared" si="5"/>
        <v>10.600740064122308</v>
      </c>
      <c r="N5" s="15">
        <f>J5-(($AA$1-2)*W5)</f>
        <v>8.3560214438217386</v>
      </c>
      <c r="O5" s="84">
        <f t="shared" si="7"/>
        <v>0</v>
      </c>
      <c r="P5" s="84">
        <f t="shared" si="8"/>
        <v>1.402949137687856</v>
      </c>
      <c r="Q5" s="84">
        <f t="shared" si="9"/>
        <v>1.402949137687856</v>
      </c>
      <c r="R5" s="15">
        <f t="shared" si="10"/>
        <v>-2.805898275375712</v>
      </c>
      <c r="S5" s="15">
        <f t="shared" si="11"/>
        <v>-1.8705988502504747</v>
      </c>
      <c r="T5" s="15">
        <f t="shared" si="12"/>
        <v>-0.93529942512523734</v>
      </c>
      <c r="U5" s="16">
        <v>0</v>
      </c>
      <c r="V5" s="15">
        <f t="shared" si="13"/>
        <v>0.93529942512523734</v>
      </c>
      <c r="W5" s="15">
        <f t="shared" si="14"/>
        <v>1.8705988502504747</v>
      </c>
      <c r="X5" s="15">
        <f t="shared" si="15"/>
        <v>2.805898275375712</v>
      </c>
      <c r="Y5" s="4"/>
      <c r="AA5" s="67" t="s">
        <v>86</v>
      </c>
      <c r="AB5" s="68">
        <v>0</v>
      </c>
      <c r="AE5" s="69" t="s">
        <v>86</v>
      </c>
      <c r="AF5" s="70">
        <v>0</v>
      </c>
      <c r="AI5">
        <v>3</v>
      </c>
      <c r="AJ5" t="s">
        <v>82</v>
      </c>
    </row>
    <row r="6" spans="1:36" ht="17.25" customHeight="1">
      <c r="A6" s="14">
        <f>'b（手動）計算用'!E8</f>
        <v>13</v>
      </c>
      <c r="B6" s="84">
        <f t="shared" si="0"/>
        <v>8.4254731473419557</v>
      </c>
      <c r="C6" s="84">
        <f t="shared" si="1"/>
        <v>0</v>
      </c>
      <c r="D6" s="84">
        <f t="shared" si="2"/>
        <v>0</v>
      </c>
      <c r="E6" s="84">
        <f t="shared" si="3"/>
        <v>0</v>
      </c>
      <c r="F6" s="84">
        <f t="shared" si="4"/>
        <v>8.4254731473419557</v>
      </c>
      <c r="G6" s="15">
        <f t="shared" si="5"/>
        <v>5.4865567230917023</v>
      </c>
      <c r="H6" s="15">
        <f t="shared" si="5"/>
        <v>6.4661955311751198</v>
      </c>
      <c r="I6" s="15">
        <f t="shared" si="5"/>
        <v>7.4458343392585373</v>
      </c>
      <c r="J6" s="15">
        <f t="shared" si="5"/>
        <v>8.4254731473419557</v>
      </c>
      <c r="K6" s="15">
        <f t="shared" si="5"/>
        <v>9.4051119554253741</v>
      </c>
      <c r="L6" s="15">
        <f t="shared" si="5"/>
        <v>10.384750763508791</v>
      </c>
      <c r="M6" s="15">
        <f t="shared" si="5"/>
        <v>11.364389571592209</v>
      </c>
      <c r="N6" s="15">
        <f t="shared" si="6"/>
        <v>9.0132564321920068</v>
      </c>
      <c r="O6" s="84">
        <f t="shared" si="7"/>
        <v>0</v>
      </c>
      <c r="P6" s="84">
        <f t="shared" si="8"/>
        <v>1.469458212125127</v>
      </c>
      <c r="Q6" s="84">
        <f t="shared" si="9"/>
        <v>1.469458212125127</v>
      </c>
      <c r="R6" s="15">
        <f t="shared" si="10"/>
        <v>-2.9389164242502539</v>
      </c>
      <c r="S6" s="15">
        <f t="shared" si="11"/>
        <v>-1.9592776161668359</v>
      </c>
      <c r="T6" s="15">
        <f t="shared" si="12"/>
        <v>-0.97963880808341797</v>
      </c>
      <c r="U6" s="16">
        <v>0</v>
      </c>
      <c r="V6" s="15">
        <f t="shared" si="13"/>
        <v>0.97963880808341797</v>
      </c>
      <c r="W6" s="15">
        <f t="shared" si="14"/>
        <v>1.9592776161668359</v>
      </c>
      <c r="X6" s="15">
        <f t="shared" si="15"/>
        <v>2.9389164242502539</v>
      </c>
      <c r="Y6" s="4"/>
      <c r="AA6" s="67" t="s">
        <v>87</v>
      </c>
      <c r="AB6" s="68">
        <v>1</v>
      </c>
      <c r="AE6" s="69" t="s">
        <v>87</v>
      </c>
      <c r="AF6" s="70">
        <v>1</v>
      </c>
      <c r="AI6">
        <v>4</v>
      </c>
      <c r="AJ6" t="s">
        <v>83</v>
      </c>
    </row>
    <row r="7" spans="1:36" ht="17.25" customHeight="1">
      <c r="A7" s="14">
        <f>'b（手動）計算用'!E9</f>
        <v>14</v>
      </c>
      <c r="B7" s="84">
        <f t="shared" si="0"/>
        <v>9.0433054434027085</v>
      </c>
      <c r="C7" s="84">
        <f t="shared" si="1"/>
        <v>0</v>
      </c>
      <c r="D7" s="84">
        <f t="shared" si="2"/>
        <v>0</v>
      </c>
      <c r="E7" s="84">
        <f t="shared" si="3"/>
        <v>0</v>
      </c>
      <c r="F7" s="84">
        <f t="shared" si="4"/>
        <v>9.0433054434027085</v>
      </c>
      <c r="G7" s="15">
        <f t="shared" si="5"/>
        <v>5.969360842690147</v>
      </c>
      <c r="H7" s="15">
        <f t="shared" si="5"/>
        <v>6.9940090429276678</v>
      </c>
      <c r="I7" s="15">
        <f t="shared" si="5"/>
        <v>8.0186572431651886</v>
      </c>
      <c r="J7" s="15">
        <f t="shared" si="5"/>
        <v>9.0433054434027085</v>
      </c>
      <c r="K7" s="15">
        <f t="shared" si="5"/>
        <v>10.067953643640228</v>
      </c>
      <c r="L7" s="15">
        <f t="shared" si="5"/>
        <v>11.092601843877748</v>
      </c>
      <c r="M7" s="15">
        <f t="shared" si="5"/>
        <v>12.11725004411527</v>
      </c>
      <c r="N7" s="15">
        <f t="shared" si="6"/>
        <v>9.6580943635452208</v>
      </c>
      <c r="O7" s="84">
        <f t="shared" si="7"/>
        <v>0</v>
      </c>
      <c r="P7" s="84">
        <f t="shared" si="8"/>
        <v>1.5369723003562805</v>
      </c>
      <c r="Q7" s="84">
        <f t="shared" si="9"/>
        <v>1.5369723003562805</v>
      </c>
      <c r="R7" s="15">
        <f t="shared" si="10"/>
        <v>-3.073944600712561</v>
      </c>
      <c r="S7" s="15">
        <f t="shared" si="11"/>
        <v>-2.0492964004750407</v>
      </c>
      <c r="T7" s="15">
        <f t="shared" si="12"/>
        <v>-1.0246482002375203</v>
      </c>
      <c r="U7" s="16">
        <v>0</v>
      </c>
      <c r="V7" s="15">
        <f t="shared" si="13"/>
        <v>1.0246482002375203</v>
      </c>
      <c r="W7" s="15">
        <f t="shared" si="14"/>
        <v>2.0492964004750407</v>
      </c>
      <c r="X7" s="15">
        <f t="shared" si="15"/>
        <v>3.073944600712561</v>
      </c>
      <c r="Y7" s="4"/>
      <c r="AA7" s="67" t="s">
        <v>25</v>
      </c>
      <c r="AB7" s="68" t="s">
        <v>26</v>
      </c>
      <c r="AE7" s="69" t="s">
        <v>25</v>
      </c>
      <c r="AF7" s="70" t="s">
        <v>88</v>
      </c>
    </row>
    <row r="8" spans="1:36" ht="17.25" customHeight="1" thickBot="1">
      <c r="A8" s="14">
        <f>'b（手動）計算用'!E10</f>
        <v>15</v>
      </c>
      <c r="B8" s="84">
        <f t="shared" si="0"/>
        <v>9.6482565384645245</v>
      </c>
      <c r="C8" s="84">
        <f t="shared" si="1"/>
        <v>0</v>
      </c>
      <c r="D8" s="84">
        <f t="shared" si="2"/>
        <v>0</v>
      </c>
      <c r="E8" s="84">
        <f t="shared" si="3"/>
        <v>0</v>
      </c>
      <c r="F8" s="84">
        <f t="shared" si="4"/>
        <v>9.6482565384645245</v>
      </c>
      <c r="G8" s="15">
        <f t="shared" si="5"/>
        <v>6.4376282843136421</v>
      </c>
      <c r="H8" s="15">
        <f t="shared" si="5"/>
        <v>7.5078377023639362</v>
      </c>
      <c r="I8" s="15">
        <f t="shared" si="5"/>
        <v>8.5780471204142295</v>
      </c>
      <c r="J8" s="15">
        <f t="shared" si="5"/>
        <v>9.6482565384645245</v>
      </c>
      <c r="K8" s="15">
        <f t="shared" si="5"/>
        <v>10.718465956514819</v>
      </c>
      <c r="L8" s="15">
        <f t="shared" si="5"/>
        <v>11.788675374565113</v>
      </c>
      <c r="M8" s="15">
        <f t="shared" si="5"/>
        <v>12.858884792615406</v>
      </c>
      <c r="N8" s="15">
        <f>J8-(($AA$1-2)*W8)</f>
        <v>10.290382189294702</v>
      </c>
      <c r="O8" s="84">
        <f t="shared" si="7"/>
        <v>0</v>
      </c>
      <c r="P8" s="84">
        <f t="shared" si="8"/>
        <v>1.6053141270754412</v>
      </c>
      <c r="Q8" s="84">
        <f t="shared" si="9"/>
        <v>1.6053141270754412</v>
      </c>
      <c r="R8" s="15">
        <f t="shared" si="10"/>
        <v>-3.2106282541508824</v>
      </c>
      <c r="S8" s="15">
        <f t="shared" si="11"/>
        <v>-2.1404188361005883</v>
      </c>
      <c r="T8" s="15">
        <f t="shared" si="12"/>
        <v>-1.0702094180502941</v>
      </c>
      <c r="U8" s="16">
        <v>0</v>
      </c>
      <c r="V8" s="15">
        <f t="shared" si="13"/>
        <v>1.0702094180502941</v>
      </c>
      <c r="W8" s="15">
        <f t="shared" si="14"/>
        <v>2.1404188361005883</v>
      </c>
      <c r="X8" s="15">
        <f t="shared" si="15"/>
        <v>3.2106282541508824</v>
      </c>
      <c r="Y8" s="4"/>
      <c r="AB8" s="68" t="s">
        <v>27</v>
      </c>
      <c r="AE8" s="72"/>
      <c r="AF8" s="70" t="s">
        <v>27</v>
      </c>
    </row>
    <row r="9" spans="1:36" ht="17.25" customHeight="1">
      <c r="A9" s="14">
        <f>'b（手動）計算用'!E11</f>
        <v>16</v>
      </c>
      <c r="B9" s="84">
        <f t="shared" si="0"/>
        <v>10.240307322728349</v>
      </c>
      <c r="C9" s="84">
        <f t="shared" si="1"/>
        <v>0</v>
      </c>
      <c r="D9" s="84">
        <f t="shared" si="2"/>
        <v>0</v>
      </c>
      <c r="E9" s="84">
        <f t="shared" si="3"/>
        <v>0</v>
      </c>
      <c r="F9" s="84">
        <f t="shared" si="4"/>
        <v>10.240307322728349</v>
      </c>
      <c r="G9" s="15">
        <f t="shared" si="5"/>
        <v>6.8917129408211579</v>
      </c>
      <c r="H9" s="15">
        <f t="shared" si="5"/>
        <v>8.0079110681235548</v>
      </c>
      <c r="I9" s="15">
        <f t="shared" si="5"/>
        <v>9.1241091954259517</v>
      </c>
      <c r="J9" s="15">
        <f t="shared" si="5"/>
        <v>10.240307322728349</v>
      </c>
      <c r="K9" s="15">
        <f t="shared" si="5"/>
        <v>11.356505450030745</v>
      </c>
      <c r="L9" s="15">
        <f t="shared" si="5"/>
        <v>12.472703577333142</v>
      </c>
      <c r="M9" s="15">
        <f t="shared" si="5"/>
        <v>13.588901704635539</v>
      </c>
      <c r="N9" s="15">
        <f t="shared" ref="N9:N72" si="16">J9-(($AA$1-2)*W9)</f>
        <v>10.910026199109787</v>
      </c>
      <c r="O9" s="84">
        <f t="shared" si="7"/>
        <v>0</v>
      </c>
      <c r="P9" s="84">
        <f t="shared" si="8"/>
        <v>1.6742971909535951</v>
      </c>
      <c r="Q9" s="84">
        <f t="shared" si="9"/>
        <v>1.6742971909535951</v>
      </c>
      <c r="R9" s="15">
        <f t="shared" si="10"/>
        <v>-3.3485943819071902</v>
      </c>
      <c r="S9" s="15">
        <f t="shared" si="11"/>
        <v>-2.2323962546047933</v>
      </c>
      <c r="T9" s="15">
        <f t="shared" si="12"/>
        <v>-1.1161981273023966</v>
      </c>
      <c r="U9" s="16">
        <v>0</v>
      </c>
      <c r="V9" s="15">
        <f t="shared" si="13"/>
        <v>1.1161981273023966</v>
      </c>
      <c r="W9" s="15">
        <f t="shared" si="14"/>
        <v>2.2323962546047933</v>
      </c>
      <c r="X9" s="15">
        <f t="shared" si="15"/>
        <v>3.3485943819071902</v>
      </c>
      <c r="Y9" s="4"/>
      <c r="AA9" s="73" t="s">
        <v>89</v>
      </c>
      <c r="AB9" s="90">
        <v>33.329599999999999</v>
      </c>
      <c r="AE9" s="72" t="s">
        <v>28</v>
      </c>
      <c r="AF9" s="94"/>
      <c r="AI9">
        <v>1</v>
      </c>
      <c r="AJ9" t="s">
        <v>88</v>
      </c>
    </row>
    <row r="10" spans="1:36" ht="17.25" customHeight="1" thickBot="1">
      <c r="A10" s="14">
        <f>'b（手動）計算用'!E12</f>
        <v>17</v>
      </c>
      <c r="B10" s="84">
        <f t="shared" si="0"/>
        <v>10.819488440939381</v>
      </c>
      <c r="C10" s="84">
        <f t="shared" si="1"/>
        <v>0</v>
      </c>
      <c r="D10" s="84">
        <f t="shared" si="2"/>
        <v>0</v>
      </c>
      <c r="E10" s="84">
        <f t="shared" si="3"/>
        <v>0</v>
      </c>
      <c r="F10" s="84">
        <f t="shared" si="4"/>
        <v>10.819488440939381</v>
      </c>
      <c r="G10" s="15">
        <f t="shared" si="5"/>
        <v>7.3320329883505675</v>
      </c>
      <c r="H10" s="15">
        <f t="shared" si="5"/>
        <v>8.4945181392135058</v>
      </c>
      <c r="I10" s="15">
        <f t="shared" si="5"/>
        <v>9.6570032900764424</v>
      </c>
      <c r="J10" s="15">
        <f t="shared" si="5"/>
        <v>10.819488440939381</v>
      </c>
      <c r="K10" s="15">
        <f t="shared" si="5"/>
        <v>11.981973591802319</v>
      </c>
      <c r="L10" s="15">
        <f t="shared" si="5"/>
        <v>13.144458742665256</v>
      </c>
      <c r="M10" s="15">
        <f t="shared" si="5"/>
        <v>14.306943893528194</v>
      </c>
      <c r="N10" s="15">
        <f t="shared" si="16"/>
        <v>11.516979531457144</v>
      </c>
      <c r="O10" s="84">
        <f t="shared" si="7"/>
        <v>0</v>
      </c>
      <c r="P10" s="84">
        <f t="shared" si="8"/>
        <v>1.7437277262944064</v>
      </c>
      <c r="Q10" s="84">
        <f t="shared" si="9"/>
        <v>1.7437277262944064</v>
      </c>
      <c r="R10" s="15">
        <f t="shared" si="10"/>
        <v>-3.4874554525888128</v>
      </c>
      <c r="S10" s="15">
        <f t="shared" si="11"/>
        <v>-2.3249703017258754</v>
      </c>
      <c r="T10" s="15">
        <f t="shared" si="12"/>
        <v>-1.1624851508629377</v>
      </c>
      <c r="U10" s="16">
        <v>0</v>
      </c>
      <c r="V10" s="15">
        <f t="shared" si="13"/>
        <v>1.1624851508629377</v>
      </c>
      <c r="W10" s="15">
        <f t="shared" si="14"/>
        <v>2.3249703017258754</v>
      </c>
      <c r="X10" s="15">
        <f t="shared" si="15"/>
        <v>3.4874554525888128</v>
      </c>
      <c r="Y10" s="4"/>
      <c r="AA10" s="73" t="s">
        <v>90</v>
      </c>
      <c r="AB10" s="91">
        <v>3.93086</v>
      </c>
      <c r="AE10" s="72" t="s">
        <v>91</v>
      </c>
      <c r="AF10" s="95"/>
      <c r="AI10" s="75">
        <v>2</v>
      </c>
      <c r="AJ10" t="s">
        <v>16</v>
      </c>
    </row>
    <row r="11" spans="1:36" ht="17.25" customHeight="1">
      <c r="A11" s="14">
        <f>'b（手動）計算用'!E13</f>
        <v>18</v>
      </c>
      <c r="B11" s="84">
        <f t="shared" si="0"/>
        <v>11.385870134421349</v>
      </c>
      <c r="C11" s="84">
        <f t="shared" si="1"/>
        <v>0</v>
      </c>
      <c r="D11" s="84">
        <f t="shared" si="2"/>
        <v>0</v>
      </c>
      <c r="E11" s="84">
        <f t="shared" si="3"/>
        <v>0</v>
      </c>
      <c r="F11" s="84">
        <f t="shared" si="4"/>
        <v>11.385870134421349</v>
      </c>
      <c r="G11" s="15">
        <f t="shared" si="5"/>
        <v>7.75905645924942</v>
      </c>
      <c r="H11" s="15">
        <f t="shared" si="5"/>
        <v>8.967994350973397</v>
      </c>
      <c r="I11" s="15">
        <f t="shared" si="5"/>
        <v>10.176932242697372</v>
      </c>
      <c r="J11" s="15">
        <f t="shared" si="5"/>
        <v>11.385870134421349</v>
      </c>
      <c r="K11" s="15">
        <f t="shared" si="5"/>
        <v>12.594808026145326</v>
      </c>
      <c r="L11" s="15">
        <f t="shared" si="5"/>
        <v>13.803745917869302</v>
      </c>
      <c r="M11" s="15">
        <f t="shared" si="5"/>
        <v>15.012683809593279</v>
      </c>
      <c r="N11" s="15">
        <f t="shared" si="16"/>
        <v>12.111232869455735</v>
      </c>
      <c r="O11" s="84">
        <f t="shared" si="7"/>
        <v>0</v>
      </c>
      <c r="P11" s="84">
        <f t="shared" si="8"/>
        <v>1.8134068375859644</v>
      </c>
      <c r="Q11" s="84">
        <f t="shared" si="9"/>
        <v>1.8134068375859644</v>
      </c>
      <c r="R11" s="15">
        <f t="shared" si="10"/>
        <v>-3.6268136751719289</v>
      </c>
      <c r="S11" s="15">
        <f t="shared" si="11"/>
        <v>-2.4178757834479527</v>
      </c>
      <c r="T11" s="15">
        <f t="shared" si="12"/>
        <v>-1.2089378917239764</v>
      </c>
      <c r="U11" s="16">
        <v>0</v>
      </c>
      <c r="V11" s="15">
        <f t="shared" si="13"/>
        <v>1.2089378917239764</v>
      </c>
      <c r="W11" s="15">
        <f t="shared" si="14"/>
        <v>2.4178757834479527</v>
      </c>
      <c r="X11" s="15">
        <f t="shared" si="15"/>
        <v>3.6268136751719289</v>
      </c>
      <c r="Y11" s="4"/>
      <c r="AA11" s="73" t="s">
        <v>92</v>
      </c>
      <c r="AB11" s="92">
        <v>8.6870000000000003E-2</v>
      </c>
    </row>
    <row r="12" spans="1:36" ht="17.25" customHeight="1" thickBot="1">
      <c r="A12" s="14">
        <f>'b（手動）計算用'!E14</f>
        <v>19</v>
      </c>
      <c r="B12" s="84">
        <f t="shared" si="0"/>
        <v>11.939554336523765</v>
      </c>
      <c r="C12" s="84">
        <f t="shared" si="1"/>
        <v>0</v>
      </c>
      <c r="D12" s="84">
        <f t="shared" si="2"/>
        <v>0</v>
      </c>
      <c r="E12" s="84">
        <f t="shared" si="3"/>
        <v>0</v>
      </c>
      <c r="F12" s="84">
        <f t="shared" si="4"/>
        <v>11.939554336523765</v>
      </c>
      <c r="G12" s="15">
        <f t="shared" si="5"/>
        <v>8.1732888202555127</v>
      </c>
      <c r="H12" s="15">
        <f t="shared" si="5"/>
        <v>9.4287106590115961</v>
      </c>
      <c r="I12" s="15">
        <f t="shared" si="5"/>
        <v>10.684132497767681</v>
      </c>
      <c r="J12" s="15">
        <f t="shared" si="5"/>
        <v>11.939554336523765</v>
      </c>
      <c r="K12" s="15">
        <f t="shared" si="5"/>
        <v>13.194976175279848</v>
      </c>
      <c r="L12" s="15">
        <f t="shared" si="5"/>
        <v>14.450398014035933</v>
      </c>
      <c r="M12" s="15">
        <f t="shared" si="5"/>
        <v>15.705819852792017</v>
      </c>
      <c r="N12" s="15">
        <f t="shared" si="16"/>
        <v>12.692807439777415</v>
      </c>
      <c r="O12" s="84">
        <f t="shared" si="7"/>
        <v>0</v>
      </c>
      <c r="P12" s="84">
        <f t="shared" si="8"/>
        <v>1.883132758134126</v>
      </c>
      <c r="Q12" s="84">
        <f t="shared" si="9"/>
        <v>1.883132758134126</v>
      </c>
      <c r="R12" s="15">
        <f t="shared" si="10"/>
        <v>-3.7662655162682519</v>
      </c>
      <c r="S12" s="15">
        <f t="shared" si="11"/>
        <v>-2.5108436775121681</v>
      </c>
      <c r="T12" s="15">
        <f t="shared" si="12"/>
        <v>-1.255421838756084</v>
      </c>
      <c r="U12" s="16">
        <v>0</v>
      </c>
      <c r="V12" s="15">
        <f t="shared" si="13"/>
        <v>1.255421838756084</v>
      </c>
      <c r="W12" s="15">
        <f t="shared" si="14"/>
        <v>2.5108436775121681</v>
      </c>
      <c r="X12" s="15">
        <f t="shared" si="15"/>
        <v>3.7662655162682519</v>
      </c>
      <c r="Y12" s="4"/>
      <c r="AA12" s="73" t="s">
        <v>30</v>
      </c>
      <c r="AB12" s="93">
        <v>2.6950000000000002E-2</v>
      </c>
    </row>
    <row r="13" spans="1:36" ht="17.25" customHeight="1">
      <c r="A13" s="14">
        <f>'b（手動）計算用'!E15</f>
        <v>20</v>
      </c>
      <c r="B13" s="84">
        <f t="shared" si="0"/>
        <v>12.480668432585109</v>
      </c>
      <c r="C13" s="84">
        <f t="shared" si="1"/>
        <v>0</v>
      </c>
      <c r="D13" s="84">
        <f t="shared" si="2"/>
        <v>0</v>
      </c>
      <c r="E13" s="84">
        <f t="shared" si="3"/>
        <v>0</v>
      </c>
      <c r="F13" s="84">
        <f t="shared" si="4"/>
        <v>12.480668432585109</v>
      </c>
      <c r="G13" s="15">
        <f t="shared" si="5"/>
        <v>8.5752620748755586</v>
      </c>
      <c r="H13" s="15">
        <f t="shared" si="5"/>
        <v>9.8770641941120765</v>
      </c>
      <c r="I13" s="15">
        <f t="shared" si="5"/>
        <v>11.178866313348593</v>
      </c>
      <c r="J13" s="15">
        <f t="shared" si="5"/>
        <v>12.480668432585109</v>
      </c>
      <c r="K13" s="15">
        <f t="shared" si="5"/>
        <v>13.782470551821625</v>
      </c>
      <c r="L13" s="15">
        <f t="shared" si="5"/>
        <v>15.084272671058141</v>
      </c>
      <c r="M13" s="15">
        <f t="shared" si="5"/>
        <v>16.386074790294657</v>
      </c>
      <c r="N13" s="15">
        <f t="shared" si="16"/>
        <v>13.261749704127018</v>
      </c>
      <c r="O13" s="84">
        <f t="shared" si="7"/>
        <v>0</v>
      </c>
      <c r="P13" s="84">
        <f t="shared" si="8"/>
        <v>1.9527031788547748</v>
      </c>
      <c r="Q13" s="84">
        <f t="shared" si="9"/>
        <v>1.9527031788547748</v>
      </c>
      <c r="R13" s="15">
        <f t="shared" si="10"/>
        <v>-3.9054063577095497</v>
      </c>
      <c r="S13" s="15">
        <f t="shared" si="11"/>
        <v>-2.6036042384730331</v>
      </c>
      <c r="T13" s="15">
        <f t="shared" si="12"/>
        <v>-1.3018021192365166</v>
      </c>
      <c r="U13" s="16">
        <v>0</v>
      </c>
      <c r="V13" s="15">
        <f t="shared" si="13"/>
        <v>1.3018021192365166</v>
      </c>
      <c r="W13" s="15">
        <f t="shared" si="14"/>
        <v>2.6036042384730331</v>
      </c>
      <c r="X13" s="15">
        <f t="shared" si="15"/>
        <v>3.9054063577095497</v>
      </c>
      <c r="Y13" s="4"/>
      <c r="AA13" s="73"/>
      <c r="AD13">
        <v>2</v>
      </c>
      <c r="AE13" t="s">
        <v>24</v>
      </c>
      <c r="AF13" t="s">
        <v>99</v>
      </c>
    </row>
    <row r="14" spans="1:36" ht="17.25" customHeight="1">
      <c r="A14" s="14">
        <f>'b（手動）計算用'!E16</f>
        <v>21</v>
      </c>
      <c r="B14" s="84">
        <f t="shared" si="0"/>
        <v>13.009360272475472</v>
      </c>
      <c r="C14" s="84">
        <f t="shared" si="1"/>
        <v>0</v>
      </c>
      <c r="D14" s="84">
        <f t="shared" si="2"/>
        <v>0</v>
      </c>
      <c r="E14" s="84">
        <f t="shared" si="3"/>
        <v>0</v>
      </c>
      <c r="F14" s="84">
        <f t="shared" si="4"/>
        <v>13.009360272475472</v>
      </c>
      <c r="G14" s="15">
        <f t="shared" si="5"/>
        <v>8.9655250917224638</v>
      </c>
      <c r="H14" s="15">
        <f t="shared" si="5"/>
        <v>10.313470151973467</v>
      </c>
      <c r="I14" s="15">
        <f t="shared" si="5"/>
        <v>11.661415212224469</v>
      </c>
      <c r="J14" s="15">
        <f t="shared" si="5"/>
        <v>13.009360272475472</v>
      </c>
      <c r="K14" s="15">
        <f t="shared" si="5"/>
        <v>14.357305332726476</v>
      </c>
      <c r="L14" s="15">
        <f t="shared" si="5"/>
        <v>15.705250392977478</v>
      </c>
      <c r="M14" s="15">
        <f t="shared" si="5"/>
        <v>17.053195453228483</v>
      </c>
      <c r="N14" s="15">
        <f t="shared" si="16"/>
        <v>13.818127308626075</v>
      </c>
      <c r="O14" s="84">
        <f t="shared" si="7"/>
        <v>0</v>
      </c>
      <c r="P14" s="84">
        <f t="shared" si="8"/>
        <v>2.0219175903765043</v>
      </c>
      <c r="Q14" s="84">
        <f t="shared" si="9"/>
        <v>2.0219175903765043</v>
      </c>
      <c r="R14" s="15">
        <f t="shared" si="10"/>
        <v>-4.0438351807530086</v>
      </c>
      <c r="S14" s="15">
        <f t="shared" si="11"/>
        <v>-2.6958901205020056</v>
      </c>
      <c r="T14" s="15">
        <f t="shared" si="12"/>
        <v>-1.3479450602510028</v>
      </c>
      <c r="U14" s="16">
        <v>0</v>
      </c>
      <c r="V14" s="15">
        <f t="shared" si="13"/>
        <v>1.3479450602510028</v>
      </c>
      <c r="W14" s="15">
        <f t="shared" si="14"/>
        <v>2.6958901205020056</v>
      </c>
      <c r="X14" s="15">
        <f t="shared" si="15"/>
        <v>4.0438351807530086</v>
      </c>
      <c r="Y14" s="4"/>
      <c r="AE14" t="s">
        <v>85</v>
      </c>
      <c r="AF14" s="70">
        <v>3</v>
      </c>
    </row>
    <row r="15" spans="1:36" ht="17.25" customHeight="1">
      <c r="A15" s="14">
        <f>'b（手動）計算用'!E17</f>
        <v>22</v>
      </c>
      <c r="B15" s="84">
        <f t="shared" si="0"/>
        <v>13.525794141291909</v>
      </c>
      <c r="C15" s="84">
        <f t="shared" si="1"/>
        <v>0</v>
      </c>
      <c r="D15" s="84">
        <f t="shared" si="2"/>
        <v>0</v>
      </c>
      <c r="E15" s="84">
        <f t="shared" si="3"/>
        <v>0</v>
      </c>
      <c r="F15" s="84">
        <f t="shared" si="4"/>
        <v>13.525794141291909</v>
      </c>
      <c r="G15" s="15">
        <f t="shared" si="5"/>
        <v>9.3446349791976289</v>
      </c>
      <c r="H15" s="15">
        <f t="shared" si="5"/>
        <v>10.738354699895723</v>
      </c>
      <c r="I15" s="15">
        <f t="shared" si="5"/>
        <v>12.132074420593815</v>
      </c>
      <c r="J15" s="15">
        <f t="shared" si="5"/>
        <v>13.525794141291909</v>
      </c>
      <c r="K15" s="15">
        <f t="shared" si="5"/>
        <v>14.919513861990003</v>
      </c>
      <c r="L15" s="15">
        <f t="shared" si="5"/>
        <v>16.313233582688095</v>
      </c>
      <c r="M15" s="15">
        <f t="shared" si="5"/>
        <v>17.706953303386189</v>
      </c>
      <c r="N15" s="15">
        <f t="shared" si="16"/>
        <v>14.362025973710765</v>
      </c>
      <c r="O15" s="84">
        <f t="shared" si="7"/>
        <v>0</v>
      </c>
      <c r="P15" s="84">
        <f t="shared" si="8"/>
        <v>2.0905795810471401</v>
      </c>
      <c r="Q15" s="84">
        <f t="shared" si="9"/>
        <v>2.0905795810471401</v>
      </c>
      <c r="R15" s="15">
        <f t="shared" si="10"/>
        <v>-4.1811591620942803</v>
      </c>
      <c r="S15" s="15">
        <f t="shared" si="11"/>
        <v>-2.7874394413961867</v>
      </c>
      <c r="T15" s="15">
        <f t="shared" si="12"/>
        <v>-1.3937197206980934</v>
      </c>
      <c r="U15" s="16">
        <v>0</v>
      </c>
      <c r="V15" s="15">
        <f t="shared" si="13"/>
        <v>1.3937197206980934</v>
      </c>
      <c r="W15" s="15">
        <f t="shared" si="14"/>
        <v>2.7874394413961867</v>
      </c>
      <c r="X15" s="15">
        <f t="shared" si="15"/>
        <v>4.1811591620942803</v>
      </c>
      <c r="Y15" s="4"/>
      <c r="Z15">
        <v>2</v>
      </c>
      <c r="AA15" s="67" t="s">
        <v>24</v>
      </c>
      <c r="AB15" s="68" t="s">
        <v>99</v>
      </c>
      <c r="AE15" t="s">
        <v>86</v>
      </c>
      <c r="AF15" s="70">
        <v>0</v>
      </c>
    </row>
    <row r="16" spans="1:36" ht="17.25" customHeight="1">
      <c r="A16" s="14">
        <f>'b（手動）計算用'!E18</f>
        <v>23</v>
      </c>
      <c r="B16" s="84">
        <f t="shared" si="0"/>
        <v>14.030147473708643</v>
      </c>
      <c r="C16" s="84">
        <f t="shared" si="1"/>
        <v>0</v>
      </c>
      <c r="D16" s="84">
        <f t="shared" si="2"/>
        <v>0</v>
      </c>
      <c r="E16" s="84">
        <f t="shared" si="3"/>
        <v>0</v>
      </c>
      <c r="F16" s="84">
        <f t="shared" si="4"/>
        <v>14.030147473708643</v>
      </c>
      <c r="G16" s="15">
        <f t="shared" si="5"/>
        <v>9.7131494031431558</v>
      </c>
      <c r="H16" s="15">
        <f t="shared" si="5"/>
        <v>11.152148759998319</v>
      </c>
      <c r="I16" s="15">
        <f t="shared" si="5"/>
        <v>12.59114811685348</v>
      </c>
      <c r="J16" s="15">
        <f t="shared" si="5"/>
        <v>14.030147473708643</v>
      </c>
      <c r="K16" s="15">
        <f t="shared" si="5"/>
        <v>15.469146830563806</v>
      </c>
      <c r="L16" s="15">
        <f t="shared" si="5"/>
        <v>16.908146187418968</v>
      </c>
      <c r="M16" s="15">
        <f t="shared" si="5"/>
        <v>18.347145544274131</v>
      </c>
      <c r="N16" s="15">
        <f t="shared" si="16"/>
        <v>14.893547087821741</v>
      </c>
      <c r="O16" s="84">
        <f t="shared" si="7"/>
        <v>0</v>
      </c>
      <c r="P16" s="84">
        <f t="shared" si="8"/>
        <v>2.1584990352827438</v>
      </c>
      <c r="Q16" s="84">
        <f t="shared" si="9"/>
        <v>2.1584990352827438</v>
      </c>
      <c r="R16" s="15">
        <f t="shared" si="10"/>
        <v>-4.3169980705654876</v>
      </c>
      <c r="S16" s="15">
        <f t="shared" si="11"/>
        <v>-2.8779987137103249</v>
      </c>
      <c r="T16" s="15">
        <f t="shared" si="12"/>
        <v>-1.4389993568551624</v>
      </c>
      <c r="U16" s="16">
        <v>0</v>
      </c>
      <c r="V16" s="15">
        <f t="shared" si="13"/>
        <v>1.4389993568551624</v>
      </c>
      <c r="W16" s="15">
        <f t="shared" si="14"/>
        <v>2.8779987137103249</v>
      </c>
      <c r="X16" s="15">
        <f t="shared" si="15"/>
        <v>4.3169980705654876</v>
      </c>
      <c r="Y16" s="4"/>
      <c r="AA16" s="67" t="s">
        <v>85</v>
      </c>
      <c r="AB16" s="68">
        <v>3</v>
      </c>
      <c r="AE16" t="s">
        <v>87</v>
      </c>
      <c r="AF16" s="70">
        <v>1</v>
      </c>
    </row>
    <row r="17" spans="1:36" ht="17.25" customHeight="1">
      <c r="A17" s="14">
        <f>'b（手動）計算用'!E19</f>
        <v>24</v>
      </c>
      <c r="B17" s="84">
        <f t="shared" si="0"/>
        <v>14.522608153025446</v>
      </c>
      <c r="C17" s="84">
        <f t="shared" si="1"/>
        <v>0</v>
      </c>
      <c r="D17" s="84">
        <f t="shared" si="2"/>
        <v>0</v>
      </c>
      <c r="E17" s="84">
        <f t="shared" si="3"/>
        <v>0</v>
      </c>
      <c r="F17" s="84">
        <f t="shared" si="4"/>
        <v>14.522608153025446</v>
      </c>
      <c r="G17" s="15">
        <f t="shared" si="5"/>
        <v>10.071619791367549</v>
      </c>
      <c r="H17" s="15">
        <f t="shared" si="5"/>
        <v>11.555282578586848</v>
      </c>
      <c r="I17" s="15">
        <f t="shared" si="5"/>
        <v>13.038945365806146</v>
      </c>
      <c r="J17" s="15">
        <f t="shared" si="5"/>
        <v>14.522608153025446</v>
      </c>
      <c r="K17" s="15">
        <f t="shared" si="5"/>
        <v>16.006270940244747</v>
      </c>
      <c r="L17" s="15">
        <f t="shared" si="5"/>
        <v>17.489933727464045</v>
      </c>
      <c r="M17" s="15">
        <f t="shared" si="5"/>
        <v>18.973596514683344</v>
      </c>
      <c r="N17" s="15">
        <f t="shared" si="16"/>
        <v>15.412805825357026</v>
      </c>
      <c r="O17" s="84">
        <f t="shared" si="7"/>
        <v>0</v>
      </c>
      <c r="P17" s="84">
        <f t="shared" si="8"/>
        <v>2.225494180828949</v>
      </c>
      <c r="Q17" s="84">
        <f t="shared" si="9"/>
        <v>2.225494180828949</v>
      </c>
      <c r="R17" s="15">
        <f t="shared" si="10"/>
        <v>-4.450988361657898</v>
      </c>
      <c r="S17" s="15">
        <f t="shared" si="11"/>
        <v>-2.9673255744385987</v>
      </c>
      <c r="T17" s="15">
        <f t="shared" si="12"/>
        <v>-1.4836627872192993</v>
      </c>
      <c r="U17" s="16">
        <v>0</v>
      </c>
      <c r="V17" s="15">
        <f t="shared" si="13"/>
        <v>1.4836627872192993</v>
      </c>
      <c r="W17" s="15">
        <f t="shared" si="14"/>
        <v>2.9673255744385987</v>
      </c>
      <c r="X17" s="15">
        <f t="shared" si="15"/>
        <v>4.450988361657898</v>
      </c>
      <c r="Y17" s="4"/>
      <c r="AA17" s="67" t="s">
        <v>86</v>
      </c>
      <c r="AB17" s="68">
        <v>0</v>
      </c>
      <c r="AE17" t="s">
        <v>25</v>
      </c>
      <c r="AF17" t="s">
        <v>31</v>
      </c>
    </row>
    <row r="18" spans="1:36" ht="17.25" customHeight="1" thickBot="1">
      <c r="A18" s="14">
        <f>'b（手動）計算用'!E20</f>
        <v>25</v>
      </c>
      <c r="B18" s="84">
        <f t="shared" si="0"/>
        <v>15.003372275297759</v>
      </c>
      <c r="C18" s="84">
        <f t="shared" si="1"/>
        <v>0</v>
      </c>
      <c r="D18" s="84">
        <f t="shared" si="2"/>
        <v>0</v>
      </c>
      <c r="E18" s="84">
        <f t="shared" si="3"/>
        <v>0</v>
      </c>
      <c r="F18" s="84">
        <f t="shared" si="4"/>
        <v>15.003372275297759</v>
      </c>
      <c r="G18" s="15">
        <f t="shared" si="5"/>
        <v>10.420585395973472</v>
      </c>
      <c r="H18" s="15">
        <f t="shared" si="5"/>
        <v>11.948181022414902</v>
      </c>
      <c r="I18" s="15">
        <f t="shared" si="5"/>
        <v>13.47577664885633</v>
      </c>
      <c r="J18" s="15">
        <f t="shared" si="5"/>
        <v>15.003372275297759</v>
      </c>
      <c r="K18" s="15">
        <f t="shared" si="5"/>
        <v>16.530967901739189</v>
      </c>
      <c r="L18" s="15">
        <f t="shared" si="5"/>
        <v>18.058563528180617</v>
      </c>
      <c r="M18" s="15">
        <f t="shared" si="5"/>
        <v>19.586159154622045</v>
      </c>
      <c r="N18" s="15">
        <f t="shared" si="16"/>
        <v>15.919929651162615</v>
      </c>
      <c r="O18" s="84">
        <f t="shared" si="7"/>
        <v>0</v>
      </c>
      <c r="P18" s="84">
        <f t="shared" si="8"/>
        <v>2.2913934396621429</v>
      </c>
      <c r="Q18" s="84">
        <f t="shared" si="9"/>
        <v>2.2913934396621429</v>
      </c>
      <c r="R18" s="15">
        <f t="shared" si="10"/>
        <v>-4.5827868793242859</v>
      </c>
      <c r="S18" s="15">
        <f t="shared" si="11"/>
        <v>-3.0551912528828571</v>
      </c>
      <c r="T18" s="15">
        <f t="shared" si="12"/>
        <v>-1.5275956264414285</v>
      </c>
      <c r="U18" s="16">
        <v>0</v>
      </c>
      <c r="V18" s="15">
        <f t="shared" si="13"/>
        <v>1.5275956264414285</v>
      </c>
      <c r="W18" s="15">
        <f t="shared" si="14"/>
        <v>3.0551912528828571</v>
      </c>
      <c r="X18" s="15">
        <f t="shared" si="15"/>
        <v>4.5827868793242859</v>
      </c>
      <c r="Y18" s="4"/>
      <c r="AA18" s="67" t="s">
        <v>87</v>
      </c>
      <c r="AB18" s="68">
        <v>1</v>
      </c>
      <c r="AC18" s="74"/>
      <c r="AF18" t="s">
        <v>27</v>
      </c>
    </row>
    <row r="19" spans="1:36" ht="17.25" customHeight="1">
      <c r="A19" s="14">
        <f>'b（手動）計算用'!E21</f>
        <v>26</v>
      </c>
      <c r="B19" s="84">
        <f t="shared" si="0"/>
        <v>15.472642287281205</v>
      </c>
      <c r="C19" s="84">
        <f t="shared" si="1"/>
        <v>0</v>
      </c>
      <c r="D19" s="84">
        <f t="shared" si="2"/>
        <v>0</v>
      </c>
      <c r="E19" s="84">
        <f t="shared" si="3"/>
        <v>0</v>
      </c>
      <c r="F19" s="84">
        <f t="shared" si="4"/>
        <v>15.472642287281205</v>
      </c>
      <c r="G19" s="15">
        <f t="shared" ref="G19:M55" si="17">$F19+R19</f>
        <v>10.760568197155019</v>
      </c>
      <c r="H19" s="15">
        <f t="shared" si="17"/>
        <v>12.331259560530414</v>
      </c>
      <c r="I19" s="15">
        <f t="shared" si="17"/>
        <v>13.90195092390581</v>
      </c>
      <c r="J19" s="15">
        <f t="shared" si="17"/>
        <v>15.472642287281205</v>
      </c>
      <c r="K19" s="15">
        <f t="shared" si="17"/>
        <v>17.043333650656599</v>
      </c>
      <c r="L19" s="15">
        <f t="shared" si="17"/>
        <v>18.614025014031995</v>
      </c>
      <c r="M19" s="15">
        <f t="shared" si="17"/>
        <v>20.184716377407391</v>
      </c>
      <c r="N19" s="15">
        <f t="shared" si="16"/>
        <v>16.415057105306442</v>
      </c>
      <c r="O19" s="84">
        <f t="shared" si="7"/>
        <v>0</v>
      </c>
      <c r="P19" s="84">
        <f t="shared" si="8"/>
        <v>2.3560370450630934</v>
      </c>
      <c r="Q19" s="84">
        <f t="shared" si="9"/>
        <v>2.3560370450630934</v>
      </c>
      <c r="R19" s="15">
        <f t="shared" si="10"/>
        <v>-4.7120740901261868</v>
      </c>
      <c r="S19" s="15">
        <f t="shared" si="11"/>
        <v>-3.1413827267507912</v>
      </c>
      <c r="T19" s="15">
        <f t="shared" si="12"/>
        <v>-1.5706913633753956</v>
      </c>
      <c r="U19" s="16">
        <v>0</v>
      </c>
      <c r="V19" s="15">
        <f t="shared" si="13"/>
        <v>1.5706913633753956</v>
      </c>
      <c r="W19" s="15">
        <f t="shared" si="14"/>
        <v>3.1413827267507912</v>
      </c>
      <c r="X19" s="15">
        <f t="shared" si="15"/>
        <v>4.7120740901261868</v>
      </c>
      <c r="Y19" s="4"/>
      <c r="AA19" s="67" t="s">
        <v>25</v>
      </c>
      <c r="AB19" s="68" t="s">
        <v>31</v>
      </c>
      <c r="AE19" s="20" t="s">
        <v>28</v>
      </c>
      <c r="AF19" s="94">
        <v>3.6590600000000002</v>
      </c>
    </row>
    <row r="20" spans="1:36" ht="17.25" customHeight="1" thickBot="1">
      <c r="A20" s="14">
        <f>'b（手動）計算用'!E22</f>
        <v>27</v>
      </c>
      <c r="B20" s="84">
        <f t="shared" si="0"/>
        <v>15.930625427673661</v>
      </c>
      <c r="C20" s="84">
        <f t="shared" si="1"/>
        <v>0</v>
      </c>
      <c r="D20" s="84">
        <f t="shared" si="2"/>
        <v>0</v>
      </c>
      <c r="E20" s="84">
        <f t="shared" si="3"/>
        <v>0</v>
      </c>
      <c r="F20" s="84">
        <f t="shared" si="4"/>
        <v>15.930625427673661</v>
      </c>
      <c r="G20" s="15">
        <f t="shared" si="17"/>
        <v>11.092068634908816</v>
      </c>
      <c r="H20" s="15">
        <f t="shared" si="17"/>
        <v>12.704920899163763</v>
      </c>
      <c r="I20" s="15">
        <f t="shared" si="17"/>
        <v>14.317773163418712</v>
      </c>
      <c r="J20" s="15">
        <f t="shared" si="17"/>
        <v>15.930625427673661</v>
      </c>
      <c r="K20" s="15">
        <f t="shared" si="17"/>
        <v>17.543477691928608</v>
      </c>
      <c r="L20" s="15">
        <f t="shared" si="17"/>
        <v>19.156329956183558</v>
      </c>
      <c r="M20" s="15">
        <f t="shared" si="17"/>
        <v>20.769182220438505</v>
      </c>
      <c r="N20" s="15">
        <f t="shared" si="16"/>
        <v>16.898336786226629</v>
      </c>
      <c r="O20" s="84">
        <f t="shared" si="7"/>
        <v>0</v>
      </c>
      <c r="P20" s="84">
        <f t="shared" si="8"/>
        <v>2.4192783963824227</v>
      </c>
      <c r="Q20" s="84">
        <f t="shared" si="9"/>
        <v>2.4192783963824227</v>
      </c>
      <c r="R20" s="15">
        <f t="shared" si="10"/>
        <v>-4.8385567927648454</v>
      </c>
      <c r="S20" s="15">
        <f t="shared" si="11"/>
        <v>-3.2257045285098971</v>
      </c>
      <c r="T20" s="15">
        <f t="shared" si="12"/>
        <v>-1.6128522642549485</v>
      </c>
      <c r="U20" s="16">
        <v>0</v>
      </c>
      <c r="V20" s="15">
        <f t="shared" si="13"/>
        <v>1.6128522642549485</v>
      </c>
      <c r="W20" s="15">
        <f t="shared" si="14"/>
        <v>3.2257045285098971</v>
      </c>
      <c r="X20" s="15">
        <f t="shared" si="15"/>
        <v>4.8385567927648454</v>
      </c>
      <c r="Y20" s="4"/>
      <c r="AB20" s="68" t="s">
        <v>27</v>
      </c>
      <c r="AE20" s="20" t="s">
        <v>29</v>
      </c>
      <c r="AF20" s="96">
        <v>18.231190000000002</v>
      </c>
    </row>
    <row r="21" spans="1:36" ht="17.25" customHeight="1" thickBot="1">
      <c r="A21" s="14">
        <f>'b（手動）計算用'!E23</f>
        <v>28</v>
      </c>
      <c r="B21" s="84">
        <f t="shared" si="0"/>
        <v>16.377532416543605</v>
      </c>
      <c r="C21" s="84">
        <f t="shared" si="1"/>
        <v>0</v>
      </c>
      <c r="D21" s="84">
        <f t="shared" si="2"/>
        <v>0</v>
      </c>
      <c r="E21" s="84">
        <f t="shared" si="3"/>
        <v>0</v>
      </c>
      <c r="F21" s="84">
        <f t="shared" si="4"/>
        <v>16.377532416543605</v>
      </c>
      <c r="G21" s="15">
        <f t="shared" si="17"/>
        <v>11.415562151199621</v>
      </c>
      <c r="H21" s="15">
        <f t="shared" si="17"/>
        <v>13.069552239647615</v>
      </c>
      <c r="I21" s="15">
        <f t="shared" si="17"/>
        <v>14.723542328095611</v>
      </c>
      <c r="J21" s="15">
        <f t="shared" si="17"/>
        <v>16.377532416543605</v>
      </c>
      <c r="K21" s="15">
        <f t="shared" si="17"/>
        <v>18.031522504991599</v>
      </c>
      <c r="L21" s="15">
        <f t="shared" si="17"/>
        <v>19.685512593439594</v>
      </c>
      <c r="M21" s="15">
        <f t="shared" si="17"/>
        <v>21.339502681887588</v>
      </c>
      <c r="N21" s="15">
        <f t="shared" si="16"/>
        <v>17.369926469612402</v>
      </c>
      <c r="O21" s="84">
        <f t="shared" si="7"/>
        <v>0</v>
      </c>
      <c r="P21" s="84">
        <f t="shared" si="8"/>
        <v>2.4809851326719921</v>
      </c>
      <c r="Q21" s="84">
        <f t="shared" si="9"/>
        <v>2.4809851326719921</v>
      </c>
      <c r="R21" s="15">
        <f t="shared" si="10"/>
        <v>-4.9619702653439841</v>
      </c>
      <c r="S21" s="15">
        <f t="shared" si="11"/>
        <v>-3.3079801768959896</v>
      </c>
      <c r="T21" s="15">
        <f t="shared" si="12"/>
        <v>-1.6539900884479948</v>
      </c>
      <c r="U21" s="16">
        <v>0</v>
      </c>
      <c r="V21" s="15">
        <f t="shared" si="13"/>
        <v>1.6539900884479948</v>
      </c>
      <c r="W21" s="15">
        <f t="shared" si="14"/>
        <v>3.3079801768959896</v>
      </c>
      <c r="X21" s="15">
        <f t="shared" si="15"/>
        <v>4.9619702653439841</v>
      </c>
      <c r="Y21" s="4"/>
      <c r="AA21" s="73" t="s">
        <v>28</v>
      </c>
      <c r="AB21" s="90"/>
      <c r="AE21" s="20" t="s">
        <v>30</v>
      </c>
      <c r="AF21" s="95">
        <v>7.6240000000000002E-2</v>
      </c>
    </row>
    <row r="22" spans="1:36" ht="17.25" customHeight="1">
      <c r="A22" s="14">
        <f>'b（手動）計算用'!E24</f>
        <v>29</v>
      </c>
      <c r="B22" s="84">
        <f t="shared" si="0"/>
        <v>16.813576349420643</v>
      </c>
      <c r="C22" s="84">
        <f t="shared" si="1"/>
        <v>0</v>
      </c>
      <c r="D22" s="84">
        <f t="shared" si="2"/>
        <v>0</v>
      </c>
      <c r="E22" s="84">
        <f t="shared" si="3"/>
        <v>0</v>
      </c>
      <c r="F22" s="84">
        <f t="shared" si="4"/>
        <v>16.813576349420643</v>
      </c>
      <c r="G22" s="15">
        <f t="shared" si="17"/>
        <v>11.731496517105949</v>
      </c>
      <c r="H22" s="15">
        <f t="shared" si="17"/>
        <v>13.425523127877513</v>
      </c>
      <c r="I22" s="15">
        <f t="shared" si="17"/>
        <v>15.119549738649079</v>
      </c>
      <c r="J22" s="15">
        <f t="shared" si="17"/>
        <v>16.813576349420643</v>
      </c>
      <c r="K22" s="15">
        <f t="shared" si="17"/>
        <v>18.507602960192209</v>
      </c>
      <c r="L22" s="15">
        <f t="shared" si="17"/>
        <v>20.201629570963771</v>
      </c>
      <c r="M22" s="15">
        <f t="shared" si="17"/>
        <v>21.895656181735337</v>
      </c>
      <c r="N22" s="15">
        <f t="shared" si="16"/>
        <v>17.829992315883583</v>
      </c>
      <c r="O22" s="84">
        <f t="shared" si="7"/>
        <v>0</v>
      </c>
      <c r="P22" s="84">
        <f t="shared" si="8"/>
        <v>2.5410399161573469</v>
      </c>
      <c r="Q22" s="84">
        <f t="shared" si="9"/>
        <v>2.5410399161573469</v>
      </c>
      <c r="R22" s="15">
        <f t="shared" si="10"/>
        <v>-5.0820798323146938</v>
      </c>
      <c r="S22" s="15">
        <f t="shared" si="11"/>
        <v>-3.3880532215431294</v>
      </c>
      <c r="T22" s="15">
        <f t="shared" si="12"/>
        <v>-1.6940266107715647</v>
      </c>
      <c r="U22" s="16">
        <v>0</v>
      </c>
      <c r="V22" s="15">
        <f t="shared" si="13"/>
        <v>1.6940266107715647</v>
      </c>
      <c r="W22" s="15">
        <f t="shared" si="14"/>
        <v>3.3880532215431294</v>
      </c>
      <c r="X22" s="15">
        <f t="shared" si="15"/>
        <v>5.0820798323146938</v>
      </c>
      <c r="Y22" s="4"/>
      <c r="AA22" s="73" t="s">
        <v>29</v>
      </c>
      <c r="AB22" s="91"/>
      <c r="AE22" s="6"/>
      <c r="AF22" s="6"/>
      <c r="AG22"/>
      <c r="AH22"/>
      <c r="AI22" s="6"/>
      <c r="AJ22" s="6"/>
    </row>
    <row r="23" spans="1:36" ht="17.25" customHeight="1" thickBot="1">
      <c r="A23" s="14">
        <f>'b（手動）計算用'!E25</f>
        <v>30</v>
      </c>
      <c r="B23" s="84">
        <f t="shared" si="0"/>
        <v>17.238971761343358</v>
      </c>
      <c r="C23" s="84">
        <f t="shared" si="1"/>
        <v>0</v>
      </c>
      <c r="D23" s="84">
        <f t="shared" si="2"/>
        <v>0</v>
      </c>
      <c r="E23" s="84">
        <f t="shared" si="3"/>
        <v>0</v>
      </c>
      <c r="F23" s="84">
        <f t="shared" si="4"/>
        <v>17.238971761343358</v>
      </c>
      <c r="G23" s="15">
        <f t="shared" si="17"/>
        <v>12.040289909377908</v>
      </c>
      <c r="H23" s="15">
        <f t="shared" si="17"/>
        <v>13.773183860033058</v>
      </c>
      <c r="I23" s="15">
        <f t="shared" si="17"/>
        <v>15.506077810688208</v>
      </c>
      <c r="J23" s="15">
        <f t="shared" si="17"/>
        <v>17.238971761343358</v>
      </c>
      <c r="K23" s="15">
        <f t="shared" si="17"/>
        <v>18.971865711998507</v>
      </c>
      <c r="L23" s="15">
        <f t="shared" si="17"/>
        <v>20.704759662653657</v>
      </c>
      <c r="M23" s="15">
        <f t="shared" si="17"/>
        <v>22.437653613308807</v>
      </c>
      <c r="N23" s="15">
        <f t="shared" si="16"/>
        <v>18.278708131736447</v>
      </c>
      <c r="O23" s="84">
        <f t="shared" si="7"/>
        <v>0</v>
      </c>
      <c r="P23" s="84">
        <f t="shared" si="8"/>
        <v>2.5993409259827245</v>
      </c>
      <c r="Q23" s="84">
        <f t="shared" si="9"/>
        <v>2.5993409259827245</v>
      </c>
      <c r="R23" s="15">
        <f t="shared" si="10"/>
        <v>-5.198681851965449</v>
      </c>
      <c r="S23" s="15">
        <f t="shared" si="11"/>
        <v>-3.4657879013102995</v>
      </c>
      <c r="T23" s="15">
        <f t="shared" si="12"/>
        <v>-1.7328939506551497</v>
      </c>
      <c r="U23" s="16">
        <v>0</v>
      </c>
      <c r="V23" s="15">
        <f t="shared" si="13"/>
        <v>1.7328939506551497</v>
      </c>
      <c r="W23" s="15">
        <f t="shared" si="14"/>
        <v>3.4657879013102995</v>
      </c>
      <c r="X23" s="15">
        <f t="shared" si="15"/>
        <v>5.198681851965449</v>
      </c>
      <c r="Y23" s="4"/>
      <c r="AA23" s="73" t="s">
        <v>30</v>
      </c>
      <c r="AB23" s="93"/>
      <c r="AE23" s="6"/>
      <c r="AF23" s="6"/>
      <c r="AG23"/>
      <c r="AH23"/>
      <c r="AI23" s="6"/>
      <c r="AJ23" s="6"/>
    </row>
    <row r="24" spans="1:36" ht="17.25" customHeight="1">
      <c r="A24" s="14">
        <f>'b（手動）計算用'!E26</f>
        <v>31</v>
      </c>
      <c r="B24" s="84">
        <f t="shared" si="0"/>
        <v>17.653933832946553</v>
      </c>
      <c r="C24" s="84">
        <f t="shared" si="1"/>
        <v>0</v>
      </c>
      <c r="D24" s="84">
        <f t="shared" si="2"/>
        <v>0</v>
      </c>
      <c r="E24" s="84">
        <f t="shared" si="3"/>
        <v>0</v>
      </c>
      <c r="F24" s="84">
        <f t="shared" si="4"/>
        <v>17.653933832946553</v>
      </c>
      <c r="G24" s="15">
        <f t="shared" si="17"/>
        <v>12.342329690260017</v>
      </c>
      <c r="H24" s="15">
        <f t="shared" si="17"/>
        <v>14.112864404488862</v>
      </c>
      <c r="I24" s="15">
        <f t="shared" si="17"/>
        <v>15.883399118717708</v>
      </c>
      <c r="J24" s="15">
        <f t="shared" si="17"/>
        <v>17.653933832946553</v>
      </c>
      <c r="K24" s="15">
        <f t="shared" si="17"/>
        <v>19.424468547175398</v>
      </c>
      <c r="L24" s="15">
        <f t="shared" si="17"/>
        <v>21.195003261404242</v>
      </c>
      <c r="M24" s="15">
        <f t="shared" si="17"/>
        <v>22.96553797563309</v>
      </c>
      <c r="N24" s="15">
        <f t="shared" si="16"/>
        <v>18.716254661483859</v>
      </c>
      <c r="O24" s="84">
        <f t="shared" si="7"/>
        <v>0</v>
      </c>
      <c r="P24" s="84">
        <f t="shared" si="8"/>
        <v>2.6558020713432677</v>
      </c>
      <c r="Q24" s="84">
        <f t="shared" si="9"/>
        <v>2.6558020713432677</v>
      </c>
      <c r="R24" s="15">
        <f t="shared" si="10"/>
        <v>-5.3116041426865355</v>
      </c>
      <c r="S24" s="15">
        <f t="shared" si="11"/>
        <v>-3.5410694284576905</v>
      </c>
      <c r="T24" s="15">
        <f t="shared" si="12"/>
        <v>-1.7705347142288452</v>
      </c>
      <c r="U24" s="16">
        <v>0</v>
      </c>
      <c r="V24" s="15">
        <f t="shared" si="13"/>
        <v>1.7705347142288452</v>
      </c>
      <c r="W24" s="15">
        <f t="shared" si="14"/>
        <v>3.5410694284576905</v>
      </c>
      <c r="X24" s="15">
        <f t="shared" si="15"/>
        <v>5.3116041426865355</v>
      </c>
      <c r="Y24" s="4"/>
      <c r="AE24" s="6"/>
      <c r="AF24" s="6"/>
      <c r="AG24"/>
      <c r="AH24"/>
      <c r="AI24" s="6"/>
      <c r="AJ24" s="6"/>
    </row>
    <row r="25" spans="1:36" ht="17.25" customHeight="1">
      <c r="A25" s="14">
        <f>'b（手動）計算用'!E27</f>
        <v>32</v>
      </c>
      <c r="B25" s="84">
        <f t="shared" si="0"/>
        <v>18.058677715946025</v>
      </c>
      <c r="C25" s="84">
        <f t="shared" si="1"/>
        <v>0</v>
      </c>
      <c r="D25" s="84">
        <f t="shared" si="2"/>
        <v>0</v>
      </c>
      <c r="E25" s="84">
        <f t="shared" si="3"/>
        <v>0</v>
      </c>
      <c r="F25" s="84">
        <f t="shared" si="4"/>
        <v>18.058677715946025</v>
      </c>
      <c r="G25" s="15">
        <f t="shared" si="17"/>
        <v>12.637971834572276</v>
      </c>
      <c r="H25" s="15">
        <f t="shared" si="17"/>
        <v>14.444873795030192</v>
      </c>
      <c r="I25" s="15">
        <f t="shared" si="17"/>
        <v>16.251775755488108</v>
      </c>
      <c r="J25" s="15">
        <f t="shared" si="17"/>
        <v>18.058677715946025</v>
      </c>
      <c r="K25" s="15">
        <f t="shared" si="17"/>
        <v>19.865579676403943</v>
      </c>
      <c r="L25" s="15">
        <f t="shared" si="17"/>
        <v>21.672481636861857</v>
      </c>
      <c r="M25" s="15">
        <f t="shared" si="17"/>
        <v>23.479383597319774</v>
      </c>
      <c r="N25" s="15">
        <f t="shared" si="16"/>
        <v>19.142818892220774</v>
      </c>
      <c r="O25" s="84">
        <f t="shared" si="7"/>
        <v>0</v>
      </c>
      <c r="P25" s="84">
        <f t="shared" si="8"/>
        <v>2.7103529406868745</v>
      </c>
      <c r="Q25" s="84">
        <f t="shared" si="9"/>
        <v>2.7103529406868745</v>
      </c>
      <c r="R25" s="15">
        <f t="shared" si="10"/>
        <v>-5.420705881373749</v>
      </c>
      <c r="S25" s="15">
        <f t="shared" si="11"/>
        <v>-3.6138039209158328</v>
      </c>
      <c r="T25" s="15">
        <f t="shared" si="12"/>
        <v>-1.8069019604579164</v>
      </c>
      <c r="U25" s="16">
        <v>0</v>
      </c>
      <c r="V25" s="15">
        <f t="shared" si="13"/>
        <v>1.8069019604579164</v>
      </c>
      <c r="W25" s="15">
        <f t="shared" si="14"/>
        <v>3.6138039209158328</v>
      </c>
      <c r="X25" s="15">
        <f t="shared" si="15"/>
        <v>5.420705881373749</v>
      </c>
      <c r="Y25" s="4"/>
      <c r="Z25" s="20"/>
      <c r="AC25" s="77"/>
      <c r="AE25" s="6"/>
      <c r="AF25" s="6"/>
      <c r="AG25"/>
      <c r="AH25"/>
      <c r="AI25" s="6"/>
      <c r="AJ25" s="6"/>
    </row>
    <row r="26" spans="1:36" ht="17.25" customHeight="1">
      <c r="A26" s="14">
        <f>'b（手動）計算用'!E28</f>
        <v>33</v>
      </c>
      <c r="B26" s="84">
        <f t="shared" si="0"/>
        <v>18.453417959518678</v>
      </c>
      <c r="C26" s="84">
        <f t="shared" si="1"/>
        <v>0</v>
      </c>
      <c r="D26" s="84">
        <f t="shared" si="2"/>
        <v>0</v>
      </c>
      <c r="E26" s="84">
        <f t="shared" si="3"/>
        <v>0</v>
      </c>
      <c r="F26" s="84">
        <f t="shared" si="4"/>
        <v>18.453417959518678</v>
      </c>
      <c r="G26" s="15">
        <f t="shared" si="17"/>
        <v>12.927540939761156</v>
      </c>
      <c r="H26" s="15">
        <f t="shared" si="17"/>
        <v>14.769499946346997</v>
      </c>
      <c r="I26" s="15">
        <f t="shared" si="17"/>
        <v>16.611458952932836</v>
      </c>
      <c r="J26" s="15">
        <f t="shared" si="17"/>
        <v>18.453417959518678</v>
      </c>
      <c r="K26" s="15">
        <f t="shared" si="17"/>
        <v>20.29537696610452</v>
      </c>
      <c r="L26" s="15">
        <f t="shared" si="17"/>
        <v>22.137335972690359</v>
      </c>
      <c r="M26" s="15">
        <f t="shared" si="17"/>
        <v>23.979294979276197</v>
      </c>
      <c r="N26" s="15">
        <f t="shared" si="16"/>
        <v>19.558593363470184</v>
      </c>
      <c r="O26" s="84">
        <f t="shared" si="7"/>
        <v>0</v>
      </c>
      <c r="P26" s="84">
        <f t="shared" si="8"/>
        <v>2.7629385098787607</v>
      </c>
      <c r="Q26" s="84">
        <f t="shared" si="9"/>
        <v>2.7629385098787607</v>
      </c>
      <c r="R26" s="15">
        <f t="shared" si="10"/>
        <v>-5.5258770197575213</v>
      </c>
      <c r="S26" s="15">
        <f t="shared" si="11"/>
        <v>-3.6839180131716809</v>
      </c>
      <c r="T26" s="15">
        <f t="shared" si="12"/>
        <v>-1.8419590065858404</v>
      </c>
      <c r="U26" s="16">
        <v>0</v>
      </c>
      <c r="V26" s="15">
        <f t="shared" si="13"/>
        <v>1.8419590065858404</v>
      </c>
      <c r="W26" s="15">
        <f t="shared" si="14"/>
        <v>3.6839180131716809</v>
      </c>
      <c r="X26" s="15">
        <f t="shared" si="15"/>
        <v>5.5258770197575213</v>
      </c>
      <c r="Z26">
        <v>3</v>
      </c>
      <c r="AA26" s="67" t="s">
        <v>24</v>
      </c>
      <c r="AB26" s="68" t="s">
        <v>100</v>
      </c>
      <c r="AC26" s="78"/>
      <c r="AE26" s="6"/>
      <c r="AF26" s="6"/>
      <c r="AG26"/>
      <c r="AH26"/>
      <c r="AI26" s="6"/>
      <c r="AJ26" s="6"/>
    </row>
    <row r="27" spans="1:36" ht="17.25" customHeight="1">
      <c r="A27" s="14">
        <f>'b（手動）計算用'!E29</f>
        <v>34</v>
      </c>
      <c r="B27" s="84">
        <f t="shared" si="0"/>
        <v>18.838368022353542</v>
      </c>
      <c r="C27" s="84">
        <f t="shared" si="1"/>
        <v>0</v>
      </c>
      <c r="D27" s="84">
        <f t="shared" si="2"/>
        <v>0</v>
      </c>
      <c r="E27" s="84">
        <f t="shared" si="3"/>
        <v>0</v>
      </c>
      <c r="F27" s="84">
        <f t="shared" si="4"/>
        <v>18.838368022353542</v>
      </c>
      <c r="G27" s="15">
        <f t="shared" si="17"/>
        <v>13.211330748476676</v>
      </c>
      <c r="H27" s="15">
        <f t="shared" si="17"/>
        <v>15.087009839768966</v>
      </c>
      <c r="I27" s="15">
        <f t="shared" si="17"/>
        <v>16.962688931061255</v>
      </c>
      <c r="J27" s="15">
        <f t="shared" si="17"/>
        <v>18.838368022353542</v>
      </c>
      <c r="K27" s="15">
        <f t="shared" si="17"/>
        <v>20.71404711364583</v>
      </c>
      <c r="L27" s="15">
        <f t="shared" si="17"/>
        <v>22.58972620493812</v>
      </c>
      <c r="M27" s="15">
        <f t="shared" si="17"/>
        <v>24.465405296230408</v>
      </c>
      <c r="N27" s="15">
        <f t="shared" si="16"/>
        <v>19.963775477128916</v>
      </c>
      <c r="O27" s="84">
        <f t="shared" si="7"/>
        <v>0</v>
      </c>
      <c r="P27" s="84">
        <f t="shared" si="8"/>
        <v>2.8135186369384328</v>
      </c>
      <c r="Q27" s="84">
        <f t="shared" si="9"/>
        <v>2.8135186369384328</v>
      </c>
      <c r="R27" s="15">
        <f t="shared" si="10"/>
        <v>-5.6270372738768657</v>
      </c>
      <c r="S27" s="15">
        <f t="shared" si="11"/>
        <v>-3.751358182584577</v>
      </c>
      <c r="T27" s="15">
        <f t="shared" si="12"/>
        <v>-1.8756790912922885</v>
      </c>
      <c r="U27" s="16">
        <v>0</v>
      </c>
      <c r="V27" s="15">
        <f t="shared" si="13"/>
        <v>1.8756790912922885</v>
      </c>
      <c r="W27" s="15">
        <f t="shared" si="14"/>
        <v>3.751358182584577</v>
      </c>
      <c r="X27" s="15">
        <f t="shared" si="15"/>
        <v>5.6270372738768657</v>
      </c>
      <c r="AA27" s="67" t="s">
        <v>85</v>
      </c>
      <c r="AB27" s="68">
        <v>3</v>
      </c>
      <c r="AE27" s="6"/>
      <c r="AF27" s="6"/>
      <c r="AG27"/>
      <c r="AH27"/>
      <c r="AI27" s="6"/>
      <c r="AJ27" s="6"/>
    </row>
    <row r="28" spans="1:36" ht="17.25" customHeight="1">
      <c r="A28" s="14">
        <f>'b（手動）計算用'!E30</f>
        <v>35</v>
      </c>
      <c r="B28" s="84">
        <f t="shared" si="0"/>
        <v>19.213739857764025</v>
      </c>
      <c r="C28" s="84">
        <f t="shared" si="1"/>
        <v>0</v>
      </c>
      <c r="D28" s="84">
        <f t="shared" si="2"/>
        <v>0</v>
      </c>
      <c r="E28" s="84">
        <f t="shared" si="3"/>
        <v>0</v>
      </c>
      <c r="F28" s="84">
        <f t="shared" si="4"/>
        <v>19.213739857764025</v>
      </c>
      <c r="G28" s="15">
        <f t="shared" si="17"/>
        <v>13.489605109474942</v>
      </c>
      <c r="H28" s="15">
        <f t="shared" si="17"/>
        <v>15.397650025571304</v>
      </c>
      <c r="I28" s="15">
        <f t="shared" si="17"/>
        <v>17.305694941667664</v>
      </c>
      <c r="J28" s="15">
        <f t="shared" si="17"/>
        <v>19.213739857764025</v>
      </c>
      <c r="K28" s="15">
        <f t="shared" si="17"/>
        <v>21.121784773860387</v>
      </c>
      <c r="L28" s="15">
        <f t="shared" si="17"/>
        <v>23.029829689956749</v>
      </c>
      <c r="M28" s="15">
        <f t="shared" si="17"/>
        <v>24.937874606053107</v>
      </c>
      <c r="N28" s="15">
        <f t="shared" si="16"/>
        <v>20.358566807421841</v>
      </c>
      <c r="O28" s="84">
        <f t="shared" si="7"/>
        <v>0</v>
      </c>
      <c r="P28" s="84">
        <f t="shared" si="8"/>
        <v>2.8620673741445417</v>
      </c>
      <c r="Q28" s="84">
        <f t="shared" si="9"/>
        <v>2.8620673741445417</v>
      </c>
      <c r="R28" s="15">
        <f t="shared" si="10"/>
        <v>-5.7241347482890834</v>
      </c>
      <c r="S28" s="15">
        <f t="shared" si="11"/>
        <v>-3.8160898321927221</v>
      </c>
      <c r="T28" s="15">
        <f t="shared" si="12"/>
        <v>-1.9080449160963611</v>
      </c>
      <c r="U28" s="16">
        <v>0</v>
      </c>
      <c r="V28" s="15">
        <f t="shared" si="13"/>
        <v>1.9080449160963611</v>
      </c>
      <c r="W28" s="15">
        <f t="shared" si="14"/>
        <v>3.8160898321927221</v>
      </c>
      <c r="X28" s="15">
        <f t="shared" si="15"/>
        <v>5.7241347482890834</v>
      </c>
      <c r="AA28" s="67" t="s">
        <v>86</v>
      </c>
      <c r="AB28" s="68">
        <v>0</v>
      </c>
      <c r="AE28" s="6"/>
      <c r="AF28" s="6"/>
      <c r="AG28"/>
      <c r="AH28"/>
      <c r="AI28" s="6"/>
      <c r="AJ28" s="6"/>
    </row>
    <row r="29" spans="1:36" ht="17.25" customHeight="1">
      <c r="A29" s="14">
        <f>'b（手動）計算用'!E31</f>
        <v>36</v>
      </c>
      <c r="B29" s="84">
        <f t="shared" si="0"/>
        <v>19.579743561355162</v>
      </c>
      <c r="C29" s="84">
        <f t="shared" si="1"/>
        <v>0</v>
      </c>
      <c r="D29" s="84">
        <f t="shared" si="2"/>
        <v>0</v>
      </c>
      <c r="E29" s="84">
        <f t="shared" si="3"/>
        <v>0</v>
      </c>
      <c r="F29" s="84">
        <f t="shared" si="4"/>
        <v>19.579743561355162</v>
      </c>
      <c r="G29" s="15">
        <f t="shared" si="17"/>
        <v>13.762599301335648</v>
      </c>
      <c r="H29" s="15">
        <f t="shared" si="17"/>
        <v>15.701647388008819</v>
      </c>
      <c r="I29" s="15">
        <f t="shared" si="17"/>
        <v>17.640695474681991</v>
      </c>
      <c r="J29" s="15">
        <f t="shared" si="17"/>
        <v>19.579743561355162</v>
      </c>
      <c r="K29" s="15">
        <f t="shared" si="17"/>
        <v>21.518791648028333</v>
      </c>
      <c r="L29" s="15">
        <f t="shared" si="17"/>
        <v>23.457839734701505</v>
      </c>
      <c r="M29" s="15">
        <f t="shared" si="17"/>
        <v>25.396887821374676</v>
      </c>
      <c r="N29" s="15">
        <f t="shared" si="16"/>
        <v>20.743172413359066</v>
      </c>
      <c r="O29" s="84">
        <f t="shared" si="7"/>
        <v>0</v>
      </c>
      <c r="P29" s="84">
        <f t="shared" si="8"/>
        <v>2.9085721300097567</v>
      </c>
      <c r="Q29" s="84">
        <f t="shared" si="9"/>
        <v>2.9085721300097567</v>
      </c>
      <c r="R29" s="15">
        <f t="shared" si="10"/>
        <v>-5.8171442600195133</v>
      </c>
      <c r="S29" s="15">
        <f t="shared" si="11"/>
        <v>-3.8780961733463424</v>
      </c>
      <c r="T29" s="15">
        <f t="shared" si="12"/>
        <v>-1.9390480866731712</v>
      </c>
      <c r="U29" s="16">
        <v>0</v>
      </c>
      <c r="V29" s="15">
        <f t="shared" si="13"/>
        <v>1.9390480866731712</v>
      </c>
      <c r="W29" s="15">
        <f t="shared" si="14"/>
        <v>3.8780961733463424</v>
      </c>
      <c r="X29" s="15">
        <f t="shared" si="15"/>
        <v>5.8171442600195133</v>
      </c>
      <c r="AA29" s="67" t="s">
        <v>87</v>
      </c>
      <c r="AB29" s="68">
        <v>1</v>
      </c>
      <c r="AE29" s="6"/>
      <c r="AF29" s="6"/>
      <c r="AG29"/>
      <c r="AH29"/>
      <c r="AI29" s="6"/>
      <c r="AJ29" s="6"/>
    </row>
    <row r="30" spans="1:36" ht="17.25" customHeight="1">
      <c r="A30" s="14">
        <f>'b（手動）計算用'!E32</f>
        <v>37</v>
      </c>
      <c r="B30" s="84">
        <f t="shared" si="0"/>
        <v>19.93658707244245</v>
      </c>
      <c r="C30" s="84">
        <f t="shared" si="1"/>
        <v>0</v>
      </c>
      <c r="D30" s="84">
        <f t="shared" si="2"/>
        <v>0</v>
      </c>
      <c r="E30" s="84">
        <f t="shared" si="3"/>
        <v>0</v>
      </c>
      <c r="F30" s="84">
        <f t="shared" si="4"/>
        <v>19.93658707244245</v>
      </c>
      <c r="G30" s="15">
        <f t="shared" si="17"/>
        <v>14.030521644484024</v>
      </c>
      <c r="H30" s="15">
        <f t="shared" si="17"/>
        <v>15.999210120470165</v>
      </c>
      <c r="I30" s="15">
        <f t="shared" si="17"/>
        <v>17.967898596456308</v>
      </c>
      <c r="J30" s="15">
        <f t="shared" si="17"/>
        <v>19.93658707244245</v>
      </c>
      <c r="K30" s="15">
        <f t="shared" si="17"/>
        <v>21.905275548428591</v>
      </c>
      <c r="L30" s="15">
        <f t="shared" si="17"/>
        <v>23.873964024414732</v>
      </c>
      <c r="M30" s="15">
        <f t="shared" si="17"/>
        <v>25.842652500400874</v>
      </c>
      <c r="N30" s="15">
        <f t="shared" si="16"/>
        <v>21.117800158034136</v>
      </c>
      <c r="O30" s="84">
        <f t="shared" si="7"/>
        <v>0</v>
      </c>
      <c r="P30" s="84">
        <f t="shared" si="8"/>
        <v>2.953032713979213</v>
      </c>
      <c r="Q30" s="84">
        <f t="shared" si="9"/>
        <v>2.953032713979213</v>
      </c>
      <c r="R30" s="15">
        <f t="shared" si="10"/>
        <v>-5.9060654279584259</v>
      </c>
      <c r="S30" s="15">
        <f t="shared" si="11"/>
        <v>-3.9373769519722841</v>
      </c>
      <c r="T30" s="15">
        <f t="shared" si="12"/>
        <v>-1.9686884759861421</v>
      </c>
      <c r="U30" s="16">
        <v>0</v>
      </c>
      <c r="V30" s="15">
        <f t="shared" si="13"/>
        <v>1.9686884759861421</v>
      </c>
      <c r="W30" s="15">
        <f t="shared" si="14"/>
        <v>3.9373769519722841</v>
      </c>
      <c r="X30" s="15">
        <f t="shared" si="15"/>
        <v>5.9060654279584259</v>
      </c>
      <c r="AA30" s="67" t="s">
        <v>25</v>
      </c>
      <c r="AB30" s="68" t="s">
        <v>93</v>
      </c>
    </row>
    <row r="31" spans="1:36" ht="17.25" customHeight="1" thickBot="1">
      <c r="A31" s="14">
        <f>'b（手動）計算用'!E33</f>
        <v>38</v>
      </c>
      <c r="B31" s="84">
        <f t="shared" si="0"/>
        <v>20.284475921807381</v>
      </c>
      <c r="C31" s="84">
        <f t="shared" si="1"/>
        <v>0</v>
      </c>
      <c r="D31" s="84">
        <f t="shared" si="2"/>
        <v>0</v>
      </c>
      <c r="E31" s="84">
        <f t="shared" si="3"/>
        <v>0</v>
      </c>
      <c r="F31" s="84">
        <f t="shared" si="4"/>
        <v>20.284475921807381</v>
      </c>
      <c r="G31" s="15">
        <f t="shared" si="17"/>
        <v>14.293555330049994</v>
      </c>
      <c r="H31" s="15">
        <f t="shared" si="17"/>
        <v>16.290528860635789</v>
      </c>
      <c r="I31" s="15">
        <f t="shared" si="17"/>
        <v>18.287502391221587</v>
      </c>
      <c r="J31" s="15">
        <f t="shared" si="17"/>
        <v>20.284475921807381</v>
      </c>
      <c r="K31" s="15">
        <f t="shared" si="17"/>
        <v>22.281449452393176</v>
      </c>
      <c r="L31" s="15">
        <f t="shared" si="17"/>
        <v>24.278422982978974</v>
      </c>
      <c r="M31" s="15">
        <f t="shared" si="17"/>
        <v>26.275396513564768</v>
      </c>
      <c r="N31" s="15">
        <f t="shared" si="16"/>
        <v>21.482660040158859</v>
      </c>
      <c r="O31" s="84">
        <f t="shared" si="7"/>
        <v>0</v>
      </c>
      <c r="P31" s="84">
        <f t="shared" si="8"/>
        <v>2.995460295878694</v>
      </c>
      <c r="Q31" s="84">
        <f t="shared" si="9"/>
        <v>2.995460295878694</v>
      </c>
      <c r="R31" s="15">
        <f t="shared" si="10"/>
        <v>-5.990920591757388</v>
      </c>
      <c r="S31" s="15">
        <f t="shared" si="11"/>
        <v>-3.9939470611715921</v>
      </c>
      <c r="T31" s="15">
        <f t="shared" si="12"/>
        <v>-1.9969735305857961</v>
      </c>
      <c r="U31" s="16">
        <v>0</v>
      </c>
      <c r="V31" s="15">
        <f t="shared" si="13"/>
        <v>1.9969735305857961</v>
      </c>
      <c r="W31" s="15">
        <f t="shared" si="14"/>
        <v>3.9939470611715921</v>
      </c>
      <c r="X31" s="15">
        <f t="shared" si="15"/>
        <v>5.990920591757388</v>
      </c>
      <c r="AA31" s="73"/>
      <c r="AB31" s="68" t="s">
        <v>27</v>
      </c>
    </row>
    <row r="32" spans="1:36" ht="17.25" customHeight="1">
      <c r="A32" s="14">
        <f>'b（手動）計算用'!E34</f>
        <v>39</v>
      </c>
      <c r="B32" s="84">
        <f t="shared" si="0"/>
        <v>20.623613019513694</v>
      </c>
      <c r="C32" s="84">
        <f t="shared" si="1"/>
        <v>0</v>
      </c>
      <c r="D32" s="84">
        <f t="shared" si="2"/>
        <v>0</v>
      </c>
      <c r="E32" s="84">
        <f t="shared" si="3"/>
        <v>0</v>
      </c>
      <c r="F32" s="84">
        <f t="shared" si="4"/>
        <v>20.623613019513694</v>
      </c>
      <c r="G32" s="15">
        <f t="shared" si="17"/>
        <v>14.55186039882949</v>
      </c>
      <c r="H32" s="15">
        <f t="shared" si="17"/>
        <v>16.575777939057559</v>
      </c>
      <c r="I32" s="15">
        <f t="shared" si="17"/>
        <v>18.599695479285625</v>
      </c>
      <c r="J32" s="15">
        <f t="shared" si="17"/>
        <v>20.623613019513694</v>
      </c>
      <c r="K32" s="15">
        <f t="shared" si="17"/>
        <v>22.647530559741764</v>
      </c>
      <c r="L32" s="15">
        <f t="shared" si="17"/>
        <v>24.67144809996983</v>
      </c>
      <c r="M32" s="15">
        <f t="shared" si="17"/>
        <v>26.695365640197899</v>
      </c>
      <c r="N32" s="15">
        <f t="shared" si="16"/>
        <v>21.837963543650535</v>
      </c>
      <c r="O32" s="84">
        <f t="shared" si="7"/>
        <v>0</v>
      </c>
      <c r="P32" s="84">
        <f t="shared" si="8"/>
        <v>3.0358763103421027</v>
      </c>
      <c r="Q32" s="84">
        <f t="shared" si="9"/>
        <v>3.0358763103421027</v>
      </c>
      <c r="R32" s="15">
        <f t="shared" si="10"/>
        <v>-6.0717526206842054</v>
      </c>
      <c r="S32" s="15">
        <f t="shared" si="11"/>
        <v>-4.0478350804561369</v>
      </c>
      <c r="T32" s="15">
        <f t="shared" si="12"/>
        <v>-2.0239175402280685</v>
      </c>
      <c r="U32" s="16">
        <v>0</v>
      </c>
      <c r="V32" s="15">
        <f t="shared" si="13"/>
        <v>2.0239175402280685</v>
      </c>
      <c r="W32" s="15">
        <f t="shared" si="14"/>
        <v>4.0478350804561369</v>
      </c>
      <c r="X32" s="15">
        <f t="shared" si="15"/>
        <v>6.0717526206842054</v>
      </c>
      <c r="AA32" s="73" t="s">
        <v>28</v>
      </c>
      <c r="AB32" s="90"/>
      <c r="AF32" s="6"/>
      <c r="AH32"/>
      <c r="AJ32" s="6"/>
    </row>
    <row r="33" spans="1:28" ht="17.25" customHeight="1">
      <c r="A33" s="14">
        <f>'b（手動）計算用'!E35</f>
        <v>40</v>
      </c>
      <c r="B33" s="84">
        <f t="shared" si="0"/>
        <v>20.954198477448166</v>
      </c>
      <c r="C33" s="84">
        <f t="shared" si="1"/>
        <v>0</v>
      </c>
      <c r="D33" s="84">
        <f t="shared" si="2"/>
        <v>0</v>
      </c>
      <c r="E33" s="84">
        <f t="shared" si="3"/>
        <v>0</v>
      </c>
      <c r="F33" s="84">
        <f t="shared" si="4"/>
        <v>20.954198477448166</v>
      </c>
      <c r="G33" s="15">
        <f t="shared" si="17"/>
        <v>14.80557580963583</v>
      </c>
      <c r="H33" s="15">
        <f t="shared" si="17"/>
        <v>16.855116698906606</v>
      </c>
      <c r="I33" s="15">
        <f t="shared" si="17"/>
        <v>18.904657588177386</v>
      </c>
      <c r="J33" s="15">
        <f t="shared" si="17"/>
        <v>20.954198477448166</v>
      </c>
      <c r="K33" s="15">
        <f t="shared" si="17"/>
        <v>23.003739366718946</v>
      </c>
      <c r="L33" s="15">
        <f t="shared" si="17"/>
        <v>25.053280255989726</v>
      </c>
      <c r="M33" s="15">
        <f t="shared" si="17"/>
        <v>27.102821145260503</v>
      </c>
      <c r="N33" s="15">
        <f t="shared" si="16"/>
        <v>22.183923011010634</v>
      </c>
      <c r="O33" s="84">
        <f t="shared" si="7"/>
        <v>0</v>
      </c>
      <c r="P33" s="84">
        <f t="shared" si="8"/>
        <v>3.0743113339061687</v>
      </c>
      <c r="Q33" s="84">
        <f t="shared" si="9"/>
        <v>3.0743113339061687</v>
      </c>
      <c r="R33" s="15">
        <f t="shared" si="10"/>
        <v>-6.1486226678123375</v>
      </c>
      <c r="S33" s="15">
        <f t="shared" si="11"/>
        <v>-4.0990817785415583</v>
      </c>
      <c r="T33" s="15">
        <f t="shared" si="12"/>
        <v>-2.0495408892707792</v>
      </c>
      <c r="U33" s="16">
        <v>0</v>
      </c>
      <c r="V33" s="15">
        <f t="shared" si="13"/>
        <v>2.0495408892707792</v>
      </c>
      <c r="W33" s="15">
        <f t="shared" si="14"/>
        <v>4.0990817785415583</v>
      </c>
      <c r="X33" s="15">
        <f t="shared" si="15"/>
        <v>6.1486226678123375</v>
      </c>
      <c r="AA33" s="73" t="s">
        <v>29</v>
      </c>
      <c r="AB33" s="91"/>
    </row>
    <row r="34" spans="1:28" ht="17.25" customHeight="1" thickBot="1">
      <c r="A34" s="14">
        <f>'b（手動）計算用'!E36</f>
        <v>41</v>
      </c>
      <c r="B34" s="84">
        <f t="shared" si="0"/>
        <v>21.276429462029611</v>
      </c>
      <c r="C34" s="84">
        <f t="shared" si="1"/>
        <v>0</v>
      </c>
      <c r="D34" s="84">
        <f t="shared" si="2"/>
        <v>0</v>
      </c>
      <c r="E34" s="84">
        <f t="shared" si="3"/>
        <v>0</v>
      </c>
      <c r="F34" s="84">
        <f t="shared" si="4"/>
        <v>21.276429462029611</v>
      </c>
      <c r="G34" s="15">
        <f t="shared" si="17"/>
        <v>15.054821543237056</v>
      </c>
      <c r="H34" s="15">
        <f t="shared" si="17"/>
        <v>17.12869084950124</v>
      </c>
      <c r="I34" s="15">
        <f t="shared" si="17"/>
        <v>19.202560155765426</v>
      </c>
      <c r="J34" s="15">
        <f t="shared" si="17"/>
        <v>21.276429462029611</v>
      </c>
      <c r="K34" s="15">
        <f t="shared" si="17"/>
        <v>23.350298768293797</v>
      </c>
      <c r="L34" s="15">
        <f t="shared" si="17"/>
        <v>25.424168074557983</v>
      </c>
      <c r="M34" s="15">
        <f t="shared" si="17"/>
        <v>27.498037380822169</v>
      </c>
      <c r="N34" s="15">
        <f t="shared" si="16"/>
        <v>22.520751045788124</v>
      </c>
      <c r="O34" s="84">
        <f t="shared" si="7"/>
        <v>0</v>
      </c>
      <c r="P34" s="84">
        <f t="shared" si="8"/>
        <v>3.1108039593962777</v>
      </c>
      <c r="Q34" s="84">
        <f t="shared" si="9"/>
        <v>3.1108039593962777</v>
      </c>
      <c r="R34" s="15">
        <f t="shared" si="10"/>
        <v>-6.2216079187925555</v>
      </c>
      <c r="S34" s="15">
        <f t="shared" si="11"/>
        <v>-4.1477386125283706</v>
      </c>
      <c r="T34" s="15">
        <f t="shared" si="12"/>
        <v>-2.0738693062641853</v>
      </c>
      <c r="U34" s="16">
        <v>0</v>
      </c>
      <c r="V34" s="15">
        <f t="shared" si="13"/>
        <v>2.0738693062641853</v>
      </c>
      <c r="W34" s="15">
        <f t="shared" si="14"/>
        <v>4.1477386125283706</v>
      </c>
      <c r="X34" s="15">
        <f t="shared" si="15"/>
        <v>6.2216079187925555</v>
      </c>
      <c r="AA34" s="73" t="s">
        <v>30</v>
      </c>
      <c r="AB34" s="93"/>
    </row>
    <row r="35" spans="1:28" ht="17.25" customHeight="1">
      <c r="A35" s="14">
        <f>'b（手動）計算用'!E37</f>
        <v>42</v>
      </c>
      <c r="B35" s="84">
        <f t="shared" si="0"/>
        <v>21.590500073179975</v>
      </c>
      <c r="C35" s="84">
        <f t="shared" si="1"/>
        <v>0</v>
      </c>
      <c r="D35" s="84">
        <f t="shared" si="2"/>
        <v>0</v>
      </c>
      <c r="E35" s="84">
        <f t="shared" si="3"/>
        <v>0</v>
      </c>
      <c r="F35" s="84">
        <f t="shared" si="4"/>
        <v>21.590500073179975</v>
      </c>
      <c r="G35" s="15">
        <f t="shared" si="17"/>
        <v>15.299700695481063</v>
      </c>
      <c r="H35" s="15">
        <f t="shared" si="17"/>
        <v>17.3966338213807</v>
      </c>
      <c r="I35" s="15">
        <f t="shared" si="17"/>
        <v>19.493566947280335</v>
      </c>
      <c r="J35" s="15">
        <f t="shared" si="17"/>
        <v>21.590500073179975</v>
      </c>
      <c r="K35" s="15">
        <f t="shared" si="17"/>
        <v>23.687433199079614</v>
      </c>
      <c r="L35" s="15">
        <f t="shared" si="17"/>
        <v>25.784366324979249</v>
      </c>
      <c r="M35" s="15">
        <f t="shared" si="17"/>
        <v>27.881299450878885</v>
      </c>
      <c r="N35" s="15">
        <f t="shared" si="16"/>
        <v>22.848659948719757</v>
      </c>
      <c r="O35" s="84">
        <f t="shared" si="7"/>
        <v>0</v>
      </c>
      <c r="P35" s="84">
        <f t="shared" si="8"/>
        <v>3.145399688849456</v>
      </c>
      <c r="Q35" s="84">
        <f t="shared" si="9"/>
        <v>3.145399688849456</v>
      </c>
      <c r="R35" s="15">
        <f t="shared" si="10"/>
        <v>-6.290799377698912</v>
      </c>
      <c r="S35" s="15">
        <f t="shared" si="11"/>
        <v>-4.1938662517992746</v>
      </c>
      <c r="T35" s="15">
        <f t="shared" si="12"/>
        <v>-2.0969331258996373</v>
      </c>
      <c r="U35" s="16">
        <v>0</v>
      </c>
      <c r="V35" s="15">
        <f t="shared" si="13"/>
        <v>2.0969331258996373</v>
      </c>
      <c r="W35" s="15">
        <f t="shared" si="14"/>
        <v>4.1938662517992746</v>
      </c>
      <c r="X35" s="15">
        <f t="shared" si="15"/>
        <v>6.290799377698912</v>
      </c>
    </row>
    <row r="36" spans="1:28" ht="17.25" customHeight="1">
      <c r="A36" s="14">
        <f>'b（手動）計算用'!E38</f>
        <v>43</v>
      </c>
      <c r="B36" s="84">
        <f t="shared" si="0"/>
        <v>21.896601246196767</v>
      </c>
      <c r="C36" s="84">
        <f t="shared" si="1"/>
        <v>0</v>
      </c>
      <c r="D36" s="84">
        <f t="shared" si="2"/>
        <v>0</v>
      </c>
      <c r="E36" s="84">
        <f t="shared" si="3"/>
        <v>0</v>
      </c>
      <c r="F36" s="84">
        <f t="shared" si="4"/>
        <v>21.896601246196767</v>
      </c>
      <c r="G36" s="15">
        <f t="shared" si="17"/>
        <v>15.540301520768683</v>
      </c>
      <c r="H36" s="15">
        <f t="shared" si="17"/>
        <v>17.659068095911376</v>
      </c>
      <c r="I36" s="15">
        <f t="shared" si="17"/>
        <v>19.777834671054073</v>
      </c>
      <c r="J36" s="15">
        <f t="shared" si="17"/>
        <v>21.896601246196767</v>
      </c>
      <c r="K36" s="15">
        <f t="shared" si="17"/>
        <v>24.01536782133946</v>
      </c>
      <c r="L36" s="15">
        <f t="shared" si="17"/>
        <v>26.134134396482157</v>
      </c>
      <c r="M36" s="15">
        <f t="shared" si="17"/>
        <v>28.25290097162485</v>
      </c>
      <c r="N36" s="15">
        <f t="shared" si="16"/>
        <v>23.167861191282384</v>
      </c>
      <c r="O36" s="84">
        <f t="shared" si="7"/>
        <v>0</v>
      </c>
      <c r="P36" s="84">
        <f t="shared" si="8"/>
        <v>3.1781498627140419</v>
      </c>
      <c r="Q36" s="84">
        <f t="shared" si="9"/>
        <v>3.1781498627140419</v>
      </c>
      <c r="R36" s="15">
        <f t="shared" si="10"/>
        <v>-6.3562997254280837</v>
      </c>
      <c r="S36" s="15">
        <f t="shared" si="11"/>
        <v>-4.2375331502853895</v>
      </c>
      <c r="T36" s="15">
        <f t="shared" si="12"/>
        <v>-2.1187665751426947</v>
      </c>
      <c r="U36" s="16">
        <v>0</v>
      </c>
      <c r="V36" s="15">
        <f t="shared" si="13"/>
        <v>2.1187665751426947</v>
      </c>
      <c r="W36" s="15">
        <f t="shared" si="14"/>
        <v>4.2375331502853895</v>
      </c>
      <c r="X36" s="15">
        <f t="shared" si="15"/>
        <v>6.3562997254280837</v>
      </c>
    </row>
    <row r="37" spans="1:28" ht="17.25" customHeight="1">
      <c r="A37" s="14">
        <f>'b（手動）計算用'!E39</f>
        <v>44</v>
      </c>
      <c r="B37" s="84">
        <f t="shared" si="0"/>
        <v>22.194920673624839</v>
      </c>
      <c r="C37" s="84">
        <f t="shared" si="1"/>
        <v>0</v>
      </c>
      <c r="D37" s="84">
        <f t="shared" si="2"/>
        <v>0</v>
      </c>
      <c r="E37" s="84">
        <f t="shared" si="3"/>
        <v>0</v>
      </c>
      <c r="F37" s="84">
        <f t="shared" si="4"/>
        <v>22.194920673624839</v>
      </c>
      <c r="G37" s="15">
        <f t="shared" si="17"/>
        <v>15.776699394451457</v>
      </c>
      <c r="H37" s="15">
        <f t="shared" si="17"/>
        <v>17.91610648750925</v>
      </c>
      <c r="I37" s="15">
        <f t="shared" si="17"/>
        <v>20.055513580567045</v>
      </c>
      <c r="J37" s="15">
        <f t="shared" si="17"/>
        <v>22.194920673624839</v>
      </c>
      <c r="K37" s="15">
        <f t="shared" si="17"/>
        <v>24.334327766682634</v>
      </c>
      <c r="L37" s="15">
        <f t="shared" si="17"/>
        <v>26.473734859740429</v>
      </c>
      <c r="M37" s="15">
        <f t="shared" si="17"/>
        <v>28.613141952798223</v>
      </c>
      <c r="N37" s="15">
        <f t="shared" si="16"/>
        <v>23.478564929459516</v>
      </c>
      <c r="O37" s="84">
        <f t="shared" si="7"/>
        <v>0</v>
      </c>
      <c r="P37" s="84">
        <f t="shared" si="8"/>
        <v>3.2091106395866911</v>
      </c>
      <c r="Q37" s="84">
        <f t="shared" si="9"/>
        <v>3.2091106395866911</v>
      </c>
      <c r="R37" s="15">
        <f t="shared" si="10"/>
        <v>-6.4182212791733821</v>
      </c>
      <c r="S37" s="15">
        <f t="shared" si="11"/>
        <v>-4.2788141861155884</v>
      </c>
      <c r="T37" s="15">
        <f t="shared" si="12"/>
        <v>-2.1394070930577942</v>
      </c>
      <c r="U37" s="16">
        <v>0</v>
      </c>
      <c r="V37" s="15">
        <f t="shared" si="13"/>
        <v>2.1394070930577942</v>
      </c>
      <c r="W37" s="15">
        <f t="shared" si="14"/>
        <v>4.2788141861155884</v>
      </c>
      <c r="X37" s="15">
        <f t="shared" si="15"/>
        <v>6.4182212791733821</v>
      </c>
      <c r="Z37">
        <v>4</v>
      </c>
      <c r="AA37" s="67" t="s">
        <v>24</v>
      </c>
      <c r="AB37" s="67" t="s">
        <v>83</v>
      </c>
    </row>
    <row r="38" spans="1:28" ht="17.25" customHeight="1">
      <c r="A38" s="14">
        <f>'b（手動）計算用'!E40</f>
        <v>45</v>
      </c>
      <c r="B38" s="84">
        <f t="shared" si="0"/>
        <v>22.485642744613877</v>
      </c>
      <c r="C38" s="84">
        <f t="shared" si="1"/>
        <v>0</v>
      </c>
      <c r="D38" s="84">
        <f t="shared" si="2"/>
        <v>0</v>
      </c>
      <c r="E38" s="84">
        <f t="shared" si="3"/>
        <v>0</v>
      </c>
      <c r="F38" s="84">
        <f t="shared" si="4"/>
        <v>22.485642744613877</v>
      </c>
      <c r="G38" s="15">
        <f t="shared" si="17"/>
        <v>16.008958669772252</v>
      </c>
      <c r="H38" s="15">
        <f t="shared" si="17"/>
        <v>18.167853361386125</v>
      </c>
      <c r="I38" s="15">
        <f t="shared" si="17"/>
        <v>20.326748053000003</v>
      </c>
      <c r="J38" s="15">
        <f t="shared" si="17"/>
        <v>22.485642744613877</v>
      </c>
      <c r="K38" s="15">
        <f t="shared" si="17"/>
        <v>24.644537436227751</v>
      </c>
      <c r="L38" s="15">
        <f t="shared" si="17"/>
        <v>26.803432127841628</v>
      </c>
      <c r="M38" s="15">
        <f t="shared" si="17"/>
        <v>28.962326819455502</v>
      </c>
      <c r="N38" s="15">
        <f t="shared" si="16"/>
        <v>23.780979559582203</v>
      </c>
      <c r="O38" s="84">
        <f t="shared" si="7"/>
        <v>0</v>
      </c>
      <c r="P38" s="84">
        <f t="shared" si="8"/>
        <v>3.2383420374208129</v>
      </c>
      <c r="Q38" s="84">
        <f t="shared" si="9"/>
        <v>3.2383420374208129</v>
      </c>
      <c r="R38" s="15">
        <f t="shared" si="10"/>
        <v>-6.4766840748416259</v>
      </c>
      <c r="S38" s="15">
        <f t="shared" si="11"/>
        <v>-4.3177893832277503</v>
      </c>
      <c r="T38" s="15">
        <f t="shared" si="12"/>
        <v>-2.1588946916138751</v>
      </c>
      <c r="U38" s="16">
        <v>0</v>
      </c>
      <c r="V38" s="15">
        <f t="shared" si="13"/>
        <v>2.1588946916138751</v>
      </c>
      <c r="W38" s="15">
        <f t="shared" si="14"/>
        <v>4.3177893832277503</v>
      </c>
      <c r="X38" s="15">
        <f t="shared" si="15"/>
        <v>6.4766840748416259</v>
      </c>
      <c r="AA38" s="67" t="s">
        <v>85</v>
      </c>
      <c r="AB38" s="68">
        <v>3</v>
      </c>
    </row>
    <row r="39" spans="1:28" ht="17.25" customHeight="1">
      <c r="A39" s="14">
        <f>'b（手動）計算用'!E41</f>
        <v>46</v>
      </c>
      <c r="B39" s="84">
        <f t="shared" si="0"/>
        <v>22.768948499577707</v>
      </c>
      <c r="C39" s="84">
        <f t="shared" si="1"/>
        <v>0</v>
      </c>
      <c r="D39" s="84">
        <f t="shared" si="2"/>
        <v>0</v>
      </c>
      <c r="E39" s="84">
        <f t="shared" si="3"/>
        <v>0</v>
      </c>
      <c r="F39" s="84">
        <f t="shared" si="4"/>
        <v>22.768948499577707</v>
      </c>
      <c r="G39" s="15">
        <f t="shared" si="17"/>
        <v>16.237134411458737</v>
      </c>
      <c r="H39" s="15">
        <f t="shared" si="17"/>
        <v>18.414405774165061</v>
      </c>
      <c r="I39" s="15">
        <f t="shared" si="17"/>
        <v>20.591677136871382</v>
      </c>
      <c r="J39" s="15">
        <f t="shared" si="17"/>
        <v>22.768948499577707</v>
      </c>
      <c r="K39" s="15">
        <f t="shared" si="17"/>
        <v>24.946219862284032</v>
      </c>
      <c r="L39" s="15">
        <f t="shared" si="17"/>
        <v>27.123491224990353</v>
      </c>
      <c r="M39" s="15">
        <f t="shared" si="17"/>
        <v>29.300762587696678</v>
      </c>
      <c r="N39" s="15">
        <f t="shared" si="16"/>
        <v>24.075311317201503</v>
      </c>
      <c r="O39" s="84">
        <f t="shared" si="7"/>
        <v>0</v>
      </c>
      <c r="P39" s="84">
        <f t="shared" si="8"/>
        <v>3.2659070440594857</v>
      </c>
      <c r="Q39" s="84">
        <f t="shared" si="9"/>
        <v>3.2659070440594857</v>
      </c>
      <c r="R39" s="15">
        <f t="shared" si="10"/>
        <v>-6.5318140881189715</v>
      </c>
      <c r="S39" s="15">
        <f t="shared" si="11"/>
        <v>-4.3545427254126476</v>
      </c>
      <c r="T39" s="15">
        <f t="shared" si="12"/>
        <v>-2.1772713627063238</v>
      </c>
      <c r="U39" s="16">
        <v>0</v>
      </c>
      <c r="V39" s="15">
        <f t="shared" si="13"/>
        <v>2.1772713627063238</v>
      </c>
      <c r="W39" s="15">
        <f t="shared" si="14"/>
        <v>4.3545427254126476</v>
      </c>
      <c r="X39" s="15">
        <f t="shared" si="15"/>
        <v>6.5318140881189715</v>
      </c>
      <c r="AA39" s="77" t="s">
        <v>86</v>
      </c>
      <c r="AB39" s="71">
        <v>0</v>
      </c>
    </row>
    <row r="40" spans="1:28" ht="17.25" customHeight="1">
      <c r="A40" s="14">
        <f>'b（手動）計算用'!E42</f>
        <v>47</v>
      </c>
      <c r="B40" s="84">
        <f t="shared" si="0"/>
        <v>23.045015598252487</v>
      </c>
      <c r="C40" s="84">
        <f t="shared" si="1"/>
        <v>0</v>
      </c>
      <c r="D40" s="84">
        <f t="shared" si="2"/>
        <v>0</v>
      </c>
      <c r="E40" s="84">
        <f t="shared" si="3"/>
        <v>0</v>
      </c>
      <c r="F40" s="84">
        <f t="shared" si="4"/>
        <v>23.045015598252487</v>
      </c>
      <c r="G40" s="15">
        <f t="shared" si="17"/>
        <v>16.461273993904616</v>
      </c>
      <c r="H40" s="15">
        <f t="shared" si="17"/>
        <v>18.655854528687239</v>
      </c>
      <c r="I40" s="15">
        <f t="shared" si="17"/>
        <v>20.850435063469863</v>
      </c>
      <c r="J40" s="15">
        <f t="shared" si="17"/>
        <v>23.045015598252487</v>
      </c>
      <c r="K40" s="15">
        <f t="shared" si="17"/>
        <v>25.239596133035111</v>
      </c>
      <c r="L40" s="15">
        <f t="shared" si="17"/>
        <v>27.434176667817734</v>
      </c>
      <c r="M40" s="15">
        <f t="shared" si="17"/>
        <v>29.628757202600358</v>
      </c>
      <c r="N40" s="15">
        <f t="shared" si="16"/>
        <v>24.361763919122062</v>
      </c>
      <c r="O40" s="84">
        <f t="shared" si="7"/>
        <v>0</v>
      </c>
      <c r="P40" s="84">
        <f t="shared" si="8"/>
        <v>3.2918708021739351</v>
      </c>
      <c r="Q40" s="84">
        <f t="shared" si="9"/>
        <v>3.2918708021739351</v>
      </c>
      <c r="R40" s="15">
        <f t="shared" si="10"/>
        <v>-6.5837416043478703</v>
      </c>
      <c r="S40" s="15">
        <f t="shared" si="11"/>
        <v>-4.3891610695652465</v>
      </c>
      <c r="T40" s="15">
        <f t="shared" si="12"/>
        <v>-2.1945805347826233</v>
      </c>
      <c r="U40" s="16">
        <v>0</v>
      </c>
      <c r="V40" s="15">
        <f t="shared" si="13"/>
        <v>2.1945805347826233</v>
      </c>
      <c r="W40" s="15">
        <f t="shared" si="14"/>
        <v>4.3891610695652465</v>
      </c>
      <c r="X40" s="15">
        <f t="shared" si="15"/>
        <v>6.5837416043478703</v>
      </c>
      <c r="AA40" s="67" t="s">
        <v>87</v>
      </c>
      <c r="AB40" s="68">
        <v>1</v>
      </c>
    </row>
    <row r="41" spans="1:28" ht="17.25" customHeight="1">
      <c r="A41" s="14">
        <f>'b（手動）計算用'!E43</f>
        <v>48</v>
      </c>
      <c r="B41" s="84">
        <f t="shared" si="0"/>
        <v>23.314018299491597</v>
      </c>
      <c r="C41" s="84">
        <f t="shared" si="1"/>
        <v>0</v>
      </c>
      <c r="D41" s="84">
        <f t="shared" si="2"/>
        <v>0</v>
      </c>
      <c r="E41" s="84">
        <f t="shared" si="3"/>
        <v>0</v>
      </c>
      <c r="F41" s="84">
        <f t="shared" si="4"/>
        <v>23.314018299491597</v>
      </c>
      <c r="G41" s="15">
        <f t="shared" si="17"/>
        <v>16.681418556965379</v>
      </c>
      <c r="H41" s="15">
        <f t="shared" si="17"/>
        <v>18.892285137807452</v>
      </c>
      <c r="I41" s="15">
        <f t="shared" si="17"/>
        <v>21.103151718649524</v>
      </c>
      <c r="J41" s="15">
        <f t="shared" si="17"/>
        <v>23.314018299491597</v>
      </c>
      <c r="K41" s="15">
        <f t="shared" si="17"/>
        <v>25.524884880333669</v>
      </c>
      <c r="L41" s="15">
        <f t="shared" si="17"/>
        <v>27.735751461175742</v>
      </c>
      <c r="M41" s="15">
        <f t="shared" si="17"/>
        <v>29.946618042017814</v>
      </c>
      <c r="N41" s="15">
        <f t="shared" si="16"/>
        <v>24.64053824799684</v>
      </c>
      <c r="O41" s="84">
        <f t="shared" si="7"/>
        <v>0</v>
      </c>
      <c r="P41" s="84">
        <f t="shared" si="8"/>
        <v>3.3162998712631082</v>
      </c>
      <c r="Q41" s="84">
        <f t="shared" si="9"/>
        <v>3.3162998712631082</v>
      </c>
      <c r="R41" s="15">
        <f t="shared" si="10"/>
        <v>-6.6325997425262164</v>
      </c>
      <c r="S41" s="15">
        <f t="shared" si="11"/>
        <v>-4.421733161684144</v>
      </c>
      <c r="T41" s="15">
        <f t="shared" si="12"/>
        <v>-2.210866580842072</v>
      </c>
      <c r="U41" s="16">
        <v>0</v>
      </c>
      <c r="V41" s="15">
        <f t="shared" si="13"/>
        <v>2.210866580842072</v>
      </c>
      <c r="W41" s="15">
        <f t="shared" si="14"/>
        <v>4.421733161684144</v>
      </c>
      <c r="X41" s="15">
        <f t="shared" si="15"/>
        <v>6.6325997425262164</v>
      </c>
      <c r="AA41" s="80" t="s">
        <v>25</v>
      </c>
      <c r="AB41" s="68" t="s">
        <v>94</v>
      </c>
    </row>
    <row r="42" spans="1:28" ht="17.25" customHeight="1" thickBot="1">
      <c r="A42" s="14">
        <f>'b（手動）計算用'!E44</f>
        <v>49</v>
      </c>
      <c r="B42" s="84">
        <f t="shared" si="0"/>
        <v>23.576127451341517</v>
      </c>
      <c r="C42" s="84">
        <f t="shared" si="1"/>
        <v>0</v>
      </c>
      <c r="D42" s="84">
        <f t="shared" si="2"/>
        <v>0</v>
      </c>
      <c r="E42" s="84">
        <f t="shared" si="3"/>
        <v>0</v>
      </c>
      <c r="F42" s="84">
        <f t="shared" si="4"/>
        <v>23.576127451341517</v>
      </c>
      <c r="G42" s="15">
        <f t="shared" si="17"/>
        <v>16.897604316729986</v>
      </c>
      <c r="H42" s="15">
        <f t="shared" si="17"/>
        <v>19.123778694933829</v>
      </c>
      <c r="I42" s="15">
        <f t="shared" si="17"/>
        <v>21.349953073137673</v>
      </c>
      <c r="J42" s="15">
        <f t="shared" si="17"/>
        <v>23.576127451341517</v>
      </c>
      <c r="K42" s="15">
        <f t="shared" si="17"/>
        <v>25.80230182954536</v>
      </c>
      <c r="L42" s="15">
        <f t="shared" si="17"/>
        <v>28.028476207749204</v>
      </c>
      <c r="M42" s="15">
        <f t="shared" si="17"/>
        <v>30.254650585953048</v>
      </c>
      <c r="N42" s="15">
        <f t="shared" si="16"/>
        <v>24.911832078263824</v>
      </c>
      <c r="O42" s="84">
        <f t="shared" si="7"/>
        <v>0</v>
      </c>
      <c r="P42" s="84">
        <f t="shared" si="8"/>
        <v>3.339261567305766</v>
      </c>
      <c r="Q42" s="84">
        <f t="shared" si="9"/>
        <v>3.339261567305766</v>
      </c>
      <c r="R42" s="15">
        <f t="shared" si="10"/>
        <v>-6.6785231346115319</v>
      </c>
      <c r="S42" s="15">
        <f t="shared" si="11"/>
        <v>-4.4523487564076882</v>
      </c>
      <c r="T42" s="15">
        <f t="shared" si="12"/>
        <v>-2.2261743782038441</v>
      </c>
      <c r="U42" s="16">
        <v>0</v>
      </c>
      <c r="V42" s="15">
        <f t="shared" si="13"/>
        <v>2.2261743782038441</v>
      </c>
      <c r="W42" s="15">
        <f t="shared" si="14"/>
        <v>4.4523487564076882</v>
      </c>
      <c r="X42" s="15">
        <f t="shared" si="15"/>
        <v>6.6785231346115319</v>
      </c>
      <c r="AB42" s="68" t="s">
        <v>27</v>
      </c>
    </row>
    <row r="43" spans="1:28" ht="17.25" customHeight="1">
      <c r="A43" s="14">
        <f>'b（手動）計算用'!E45</f>
        <v>50</v>
      </c>
      <c r="B43" s="84">
        <f t="shared" si="0"/>
        <v>23.831510490121165</v>
      </c>
      <c r="C43" s="84">
        <f t="shared" si="1"/>
        <v>0</v>
      </c>
      <c r="D43" s="84">
        <f t="shared" si="2"/>
        <v>0</v>
      </c>
      <c r="E43" s="84">
        <f t="shared" si="3"/>
        <v>0</v>
      </c>
      <c r="F43" s="84">
        <f t="shared" si="4"/>
        <v>23.831510490121165</v>
      </c>
      <c r="G43" s="15">
        <f t="shared" si="17"/>
        <v>17.109863732219157</v>
      </c>
      <c r="H43" s="15">
        <f t="shared" si="17"/>
        <v>19.350412651519825</v>
      </c>
      <c r="I43" s="15">
        <f t="shared" si="17"/>
        <v>21.590961570820497</v>
      </c>
      <c r="J43" s="15">
        <f t="shared" si="17"/>
        <v>23.831510490121165</v>
      </c>
      <c r="K43" s="15">
        <f t="shared" si="17"/>
        <v>26.072059409421833</v>
      </c>
      <c r="L43" s="15">
        <f t="shared" si="17"/>
        <v>28.312608328722504</v>
      </c>
      <c r="M43" s="15">
        <f t="shared" si="17"/>
        <v>30.553157248023172</v>
      </c>
      <c r="N43" s="15">
        <f t="shared" si="16"/>
        <v>25.175839841701567</v>
      </c>
      <c r="O43" s="84">
        <f t="shared" si="7"/>
        <v>0</v>
      </c>
      <c r="P43" s="84">
        <f t="shared" si="8"/>
        <v>3.3608233789510034</v>
      </c>
      <c r="Q43" s="84">
        <f t="shared" si="9"/>
        <v>3.3608233789510034</v>
      </c>
      <c r="R43" s="15">
        <f t="shared" si="10"/>
        <v>-6.7216467579020067</v>
      </c>
      <c r="S43" s="15">
        <f t="shared" si="11"/>
        <v>-4.4810978386013378</v>
      </c>
      <c r="T43" s="15">
        <f t="shared" si="12"/>
        <v>-2.2405489193006689</v>
      </c>
      <c r="U43" s="16">
        <v>0</v>
      </c>
      <c r="V43" s="15">
        <f t="shared" si="13"/>
        <v>2.2405489193006689</v>
      </c>
      <c r="W43" s="15">
        <f t="shared" si="14"/>
        <v>4.4810978386013378</v>
      </c>
      <c r="X43" s="15">
        <f t="shared" si="15"/>
        <v>6.7216467579020067</v>
      </c>
      <c r="AA43" s="73" t="s">
        <v>95</v>
      </c>
      <c r="AB43" s="90"/>
    </row>
    <row r="44" spans="1:28" ht="17.25" customHeight="1">
      <c r="A44" s="14">
        <f>'b（手動）計算用'!E46</f>
        <v>51</v>
      </c>
      <c r="B44" s="84">
        <f t="shared" si="0"/>
        <v>24.08033144738096</v>
      </c>
      <c r="C44" s="84">
        <f t="shared" si="1"/>
        <v>0</v>
      </c>
      <c r="D44" s="84">
        <f t="shared" si="2"/>
        <v>0</v>
      </c>
      <c r="E44" s="84">
        <f t="shared" si="3"/>
        <v>0</v>
      </c>
      <c r="F44" s="84">
        <f t="shared" si="4"/>
        <v>24.08033144738096</v>
      </c>
      <c r="G44" s="15">
        <f t="shared" si="17"/>
        <v>17.318226531841518</v>
      </c>
      <c r="H44" s="15">
        <f t="shared" si="17"/>
        <v>19.572261503687997</v>
      </c>
      <c r="I44" s="15">
        <f t="shared" si="17"/>
        <v>21.82629647553448</v>
      </c>
      <c r="J44" s="15">
        <f t="shared" si="17"/>
        <v>24.08033144738096</v>
      </c>
      <c r="K44" s="15">
        <f t="shared" si="17"/>
        <v>26.33436641922744</v>
      </c>
      <c r="L44" s="15">
        <f t="shared" si="17"/>
        <v>28.588401391073923</v>
      </c>
      <c r="M44" s="15">
        <f t="shared" si="17"/>
        <v>30.842436362920402</v>
      </c>
      <c r="N44" s="15">
        <f t="shared" si="16"/>
        <v>25.432752430488847</v>
      </c>
      <c r="O44" s="84">
        <f t="shared" si="7"/>
        <v>0</v>
      </c>
      <c r="P44" s="84">
        <f t="shared" si="8"/>
        <v>3.3810524577697207</v>
      </c>
      <c r="Q44" s="84">
        <f t="shared" si="9"/>
        <v>3.3810524577697207</v>
      </c>
      <c r="R44" s="15">
        <f t="shared" si="10"/>
        <v>-6.7621049155394415</v>
      </c>
      <c r="S44" s="15">
        <f t="shared" si="11"/>
        <v>-4.508069943692961</v>
      </c>
      <c r="T44" s="15">
        <f t="shared" si="12"/>
        <v>-2.2540349718464805</v>
      </c>
      <c r="U44" s="16">
        <v>0</v>
      </c>
      <c r="V44" s="15">
        <f t="shared" si="13"/>
        <v>2.2540349718464805</v>
      </c>
      <c r="W44" s="15">
        <f t="shared" si="14"/>
        <v>4.508069943692961</v>
      </c>
      <c r="X44" s="15">
        <f t="shared" si="15"/>
        <v>6.7621049155394415</v>
      </c>
      <c r="AA44" s="73" t="s">
        <v>29</v>
      </c>
      <c r="AB44" s="91"/>
    </row>
    <row r="45" spans="1:28" ht="17.25" customHeight="1" thickBot="1">
      <c r="A45" s="14">
        <f>'b（手動）計算用'!E47</f>
        <v>52</v>
      </c>
      <c r="B45" s="84">
        <f t="shared" si="0"/>
        <v>24.322750963751457</v>
      </c>
      <c r="C45" s="84">
        <f t="shared" si="1"/>
        <v>0</v>
      </c>
      <c r="D45" s="84">
        <f t="shared" si="2"/>
        <v>0</v>
      </c>
      <c r="E45" s="84">
        <f t="shared" si="3"/>
        <v>0</v>
      </c>
      <c r="F45" s="84">
        <f t="shared" si="4"/>
        <v>24.322750963751457</v>
      </c>
      <c r="G45" s="15">
        <f t="shared" si="17"/>
        <v>17.522720605667011</v>
      </c>
      <c r="H45" s="15">
        <f t="shared" si="17"/>
        <v>19.789397391695157</v>
      </c>
      <c r="I45" s="15">
        <f t="shared" si="17"/>
        <v>22.056074177723307</v>
      </c>
      <c r="J45" s="15">
        <f t="shared" si="17"/>
        <v>24.322750963751457</v>
      </c>
      <c r="K45" s="15">
        <f t="shared" si="17"/>
        <v>26.589427749779606</v>
      </c>
      <c r="L45" s="15">
        <f t="shared" si="17"/>
        <v>28.856104535807756</v>
      </c>
      <c r="M45" s="15">
        <f t="shared" si="17"/>
        <v>31.122781321835902</v>
      </c>
      <c r="N45" s="15">
        <f t="shared" si="16"/>
        <v>25.682757035368347</v>
      </c>
      <c r="O45" s="84">
        <f t="shared" si="7"/>
        <v>0</v>
      </c>
      <c r="P45" s="84">
        <f t="shared" si="8"/>
        <v>3.4000151790422235</v>
      </c>
      <c r="Q45" s="84">
        <f t="shared" si="9"/>
        <v>3.4000151790422235</v>
      </c>
      <c r="R45" s="15">
        <f t="shared" si="10"/>
        <v>-6.800030358084447</v>
      </c>
      <c r="S45" s="15">
        <f t="shared" si="11"/>
        <v>-4.5333535720562983</v>
      </c>
      <c r="T45" s="15">
        <f t="shared" si="12"/>
        <v>-2.2666767860281491</v>
      </c>
      <c r="U45" s="16">
        <v>0</v>
      </c>
      <c r="V45" s="15">
        <f t="shared" si="13"/>
        <v>2.2666767860281491</v>
      </c>
      <c r="W45" s="15">
        <f t="shared" si="14"/>
        <v>4.5333535720562983</v>
      </c>
      <c r="X45" s="15">
        <f t="shared" si="15"/>
        <v>6.800030358084447</v>
      </c>
      <c r="AA45" s="73" t="s">
        <v>30</v>
      </c>
      <c r="AB45" s="93"/>
    </row>
    <row r="46" spans="1:28" ht="17.25" customHeight="1">
      <c r="A46" s="14">
        <f>'b（手動）計算用'!E48</f>
        <v>53</v>
      </c>
      <c r="B46" s="84">
        <f t="shared" si="0"/>
        <v>24.558926308807333</v>
      </c>
      <c r="C46" s="84">
        <f t="shared" si="1"/>
        <v>0</v>
      </c>
      <c r="D46" s="84">
        <f t="shared" si="2"/>
        <v>0</v>
      </c>
      <c r="E46" s="84">
        <f t="shared" si="3"/>
        <v>0</v>
      </c>
      <c r="F46" s="84">
        <f t="shared" si="4"/>
        <v>24.558926308807333</v>
      </c>
      <c r="G46" s="15">
        <f t="shared" si="17"/>
        <v>17.723372771220411</v>
      </c>
      <c r="H46" s="15">
        <f t="shared" si="17"/>
        <v>20.001890617082719</v>
      </c>
      <c r="I46" s="15">
        <f t="shared" si="17"/>
        <v>22.280408462945026</v>
      </c>
      <c r="J46" s="15">
        <f t="shared" si="17"/>
        <v>24.558926308807333</v>
      </c>
      <c r="K46" s="15">
        <f t="shared" si="17"/>
        <v>26.83744415466964</v>
      </c>
      <c r="L46" s="15">
        <f t="shared" si="17"/>
        <v>29.115962000531947</v>
      </c>
      <c r="M46" s="15">
        <f t="shared" si="17"/>
        <v>31.394479846394255</v>
      </c>
      <c r="N46" s="15">
        <f t="shared" si="16"/>
        <v>25.926037016324717</v>
      </c>
      <c r="O46" s="84">
        <f t="shared" si="7"/>
        <v>0</v>
      </c>
      <c r="P46" s="84">
        <f t="shared" si="8"/>
        <v>3.4177767687934599</v>
      </c>
      <c r="Q46" s="84">
        <f t="shared" si="9"/>
        <v>3.4177767687934599</v>
      </c>
      <c r="R46" s="15">
        <f t="shared" si="10"/>
        <v>-6.8355535375869199</v>
      </c>
      <c r="S46" s="15">
        <f t="shared" si="11"/>
        <v>-4.5570356917246135</v>
      </c>
      <c r="T46" s="15">
        <f t="shared" si="12"/>
        <v>-2.2785178458623068</v>
      </c>
      <c r="U46" s="16">
        <v>0</v>
      </c>
      <c r="V46" s="15">
        <f t="shared" si="13"/>
        <v>2.2785178458623068</v>
      </c>
      <c r="W46" s="15">
        <f t="shared" si="14"/>
        <v>4.5570356917246135</v>
      </c>
      <c r="X46" s="15">
        <f t="shared" si="15"/>
        <v>6.8355535375869199</v>
      </c>
    </row>
    <row r="47" spans="1:28" ht="17.25" customHeight="1">
      <c r="A47" s="14">
        <f>'b（手動）計算用'!E49</f>
        <v>54</v>
      </c>
      <c r="B47" s="84">
        <f t="shared" si="0"/>
        <v>24.789011406173802</v>
      </c>
      <c r="C47" s="84">
        <f t="shared" si="1"/>
        <v>0</v>
      </c>
      <c r="D47" s="84">
        <f t="shared" si="2"/>
        <v>0</v>
      </c>
      <c r="E47" s="84">
        <f t="shared" si="3"/>
        <v>0</v>
      </c>
      <c r="F47" s="84">
        <f t="shared" si="4"/>
        <v>24.789011406173802</v>
      </c>
      <c r="G47" s="15">
        <f t="shared" si="17"/>
        <v>17.920209421629867</v>
      </c>
      <c r="H47" s="15">
        <f t="shared" si="17"/>
        <v>20.209810083144511</v>
      </c>
      <c r="I47" s="15">
        <f t="shared" si="17"/>
        <v>22.499410744659158</v>
      </c>
      <c r="J47" s="15">
        <f t="shared" si="17"/>
        <v>24.789011406173802</v>
      </c>
      <c r="K47" s="15">
        <f t="shared" si="17"/>
        <v>27.078612067688447</v>
      </c>
      <c r="L47" s="15">
        <f t="shared" si="17"/>
        <v>29.368212729203094</v>
      </c>
      <c r="M47" s="15">
        <f t="shared" si="17"/>
        <v>31.657813390717738</v>
      </c>
      <c r="N47" s="15">
        <f t="shared" si="16"/>
        <v>26.162771803082592</v>
      </c>
      <c r="O47" s="84">
        <f t="shared" si="7"/>
        <v>0</v>
      </c>
      <c r="P47" s="84">
        <f t="shared" si="8"/>
        <v>3.4344009922719683</v>
      </c>
      <c r="Q47" s="84">
        <f t="shared" si="9"/>
        <v>3.4344009922719683</v>
      </c>
      <c r="R47" s="15">
        <f t="shared" si="10"/>
        <v>-6.8688019845439365</v>
      </c>
      <c r="S47" s="15">
        <f t="shared" si="11"/>
        <v>-4.5792013230292907</v>
      </c>
      <c r="T47" s="15">
        <f t="shared" si="12"/>
        <v>-2.2896006615146454</v>
      </c>
      <c r="U47" s="16">
        <v>0</v>
      </c>
      <c r="V47" s="15">
        <f t="shared" si="13"/>
        <v>2.2896006615146454</v>
      </c>
      <c r="W47" s="15">
        <f t="shared" si="14"/>
        <v>4.5792013230292907</v>
      </c>
      <c r="X47" s="15">
        <f t="shared" si="15"/>
        <v>6.8688019845439365</v>
      </c>
    </row>
    <row r="48" spans="1:28" ht="17.25" customHeight="1">
      <c r="A48" s="14">
        <f>'b（手動）計算用'!E50</f>
        <v>55</v>
      </c>
      <c r="B48" s="84">
        <f t="shared" si="0"/>
        <v>25.013156863190986</v>
      </c>
      <c r="C48" s="84">
        <f t="shared" si="1"/>
        <v>0</v>
      </c>
      <c r="D48" s="84">
        <f t="shared" si="2"/>
        <v>0</v>
      </c>
      <c r="E48" s="84">
        <f t="shared" si="3"/>
        <v>0</v>
      </c>
      <c r="F48" s="84">
        <f t="shared" si="4"/>
        <v>25.013156863190986</v>
      </c>
      <c r="G48" s="15">
        <f t="shared" si="17"/>
        <v>18.113257065661411</v>
      </c>
      <c r="H48" s="15">
        <f t="shared" si="17"/>
        <v>20.413223664837936</v>
      </c>
      <c r="I48" s="15">
        <f t="shared" si="17"/>
        <v>22.713190264014461</v>
      </c>
      <c r="J48" s="15">
        <f t="shared" si="17"/>
        <v>25.013156863190986</v>
      </c>
      <c r="K48" s="15">
        <f t="shared" si="17"/>
        <v>27.313123462367511</v>
      </c>
      <c r="L48" s="15">
        <f t="shared" si="17"/>
        <v>29.613090061544035</v>
      </c>
      <c r="M48" s="15">
        <f t="shared" si="17"/>
        <v>31.91305666072056</v>
      </c>
      <c r="N48" s="15">
        <f t="shared" si="16"/>
        <v>26.393136822696903</v>
      </c>
      <c r="O48" s="84">
        <f t="shared" si="7"/>
        <v>0</v>
      </c>
      <c r="P48" s="84">
        <f t="shared" si="8"/>
        <v>3.4499498987647876</v>
      </c>
      <c r="Q48" s="84">
        <f t="shared" si="9"/>
        <v>3.4499498987647876</v>
      </c>
      <c r="R48" s="15">
        <f t="shared" si="10"/>
        <v>-6.8998997975295753</v>
      </c>
      <c r="S48" s="15">
        <f t="shared" si="11"/>
        <v>-4.5999331983530505</v>
      </c>
      <c r="T48" s="15">
        <f t="shared" si="12"/>
        <v>-2.2999665991765252</v>
      </c>
      <c r="U48" s="16">
        <v>0</v>
      </c>
      <c r="V48" s="15">
        <f t="shared" si="13"/>
        <v>2.2999665991765252</v>
      </c>
      <c r="W48" s="15">
        <f t="shared" si="14"/>
        <v>4.5999331983530505</v>
      </c>
      <c r="X48" s="15">
        <f t="shared" si="15"/>
        <v>6.8998997975295753</v>
      </c>
    </row>
    <row r="49" spans="1:36" ht="17.25" customHeight="1">
      <c r="A49" s="14">
        <f>'b（手動）計算用'!E51</f>
        <v>56</v>
      </c>
      <c r="B49" s="84">
        <f t="shared" si="0"/>
        <v>25.231510004529163</v>
      </c>
      <c r="C49" s="84">
        <f t="shared" si="1"/>
        <v>0</v>
      </c>
      <c r="D49" s="84">
        <f t="shared" si="2"/>
        <v>0</v>
      </c>
      <c r="E49" s="84">
        <f t="shared" si="3"/>
        <v>0</v>
      </c>
      <c r="F49" s="84">
        <f t="shared" si="4"/>
        <v>25.231510004529163</v>
      </c>
      <c r="G49" s="15">
        <f t="shared" si="17"/>
        <v>18.302542769503415</v>
      </c>
      <c r="H49" s="15">
        <f t="shared" si="17"/>
        <v>20.612198514511999</v>
      </c>
      <c r="I49" s="15">
        <f t="shared" si="17"/>
        <v>22.921854259520579</v>
      </c>
      <c r="J49" s="15">
        <f t="shared" si="17"/>
        <v>25.231510004529163</v>
      </c>
      <c r="K49" s="15">
        <f t="shared" si="17"/>
        <v>27.541165749537747</v>
      </c>
      <c r="L49" s="15">
        <f t="shared" si="17"/>
        <v>29.850821494546327</v>
      </c>
      <c r="M49" s="15">
        <f t="shared" si="17"/>
        <v>32.160477239554908</v>
      </c>
      <c r="N49" s="15">
        <f t="shared" si="16"/>
        <v>26.617303451534312</v>
      </c>
      <c r="O49" s="84">
        <f t="shared" si="7"/>
        <v>0</v>
      </c>
      <c r="P49" s="84">
        <f t="shared" si="8"/>
        <v>3.4644836175128737</v>
      </c>
      <c r="Q49" s="84">
        <f t="shared" si="9"/>
        <v>3.4644836175128737</v>
      </c>
      <c r="R49" s="15">
        <f t="shared" si="10"/>
        <v>-6.9289672350257474</v>
      </c>
      <c r="S49" s="15">
        <f t="shared" si="11"/>
        <v>-4.6193114900171652</v>
      </c>
      <c r="T49" s="15">
        <f t="shared" si="12"/>
        <v>-2.3096557450085826</v>
      </c>
      <c r="U49" s="16">
        <v>0</v>
      </c>
      <c r="V49" s="15">
        <f t="shared" si="13"/>
        <v>2.3096557450085826</v>
      </c>
      <c r="W49" s="15">
        <f t="shared" si="14"/>
        <v>4.6193114900171652</v>
      </c>
      <c r="X49" s="15">
        <f t="shared" si="15"/>
        <v>6.9289672350257474</v>
      </c>
    </row>
    <row r="50" spans="1:36" ht="17.25" customHeight="1">
      <c r="A50" s="14">
        <f>'b（手動）計算用'!E52</f>
        <v>57</v>
      </c>
      <c r="B50" s="84">
        <f t="shared" si="0"/>
        <v>25.444214909216207</v>
      </c>
      <c r="C50" s="84">
        <f t="shared" si="1"/>
        <v>0</v>
      </c>
      <c r="D50" s="84">
        <f t="shared" si="2"/>
        <v>0</v>
      </c>
      <c r="E50" s="84">
        <f t="shared" si="3"/>
        <v>0</v>
      </c>
      <c r="F50" s="84">
        <f t="shared" si="4"/>
        <v>25.444214909216207</v>
      </c>
      <c r="G50" s="15">
        <f t="shared" si="17"/>
        <v>18.48809451020367</v>
      </c>
      <c r="H50" s="15">
        <f t="shared" si="17"/>
        <v>20.806801309874515</v>
      </c>
      <c r="I50" s="15">
        <f t="shared" si="17"/>
        <v>23.125508109545361</v>
      </c>
      <c r="J50" s="15">
        <f t="shared" si="17"/>
        <v>25.444214909216207</v>
      </c>
      <c r="K50" s="15">
        <f t="shared" si="17"/>
        <v>27.762921708887053</v>
      </c>
      <c r="L50" s="15">
        <f t="shared" si="17"/>
        <v>30.081628508557898</v>
      </c>
      <c r="M50" s="15">
        <f t="shared" si="17"/>
        <v>32.400335308228748</v>
      </c>
      <c r="N50" s="15">
        <f t="shared" si="16"/>
        <v>26.835438989018716</v>
      </c>
      <c r="O50" s="84">
        <f t="shared" si="7"/>
        <v>0</v>
      </c>
      <c r="P50" s="84">
        <f t="shared" si="8"/>
        <v>3.478060199506269</v>
      </c>
      <c r="Q50" s="84">
        <f t="shared" si="9"/>
        <v>3.478060199506269</v>
      </c>
      <c r="R50" s="15">
        <f t="shared" si="10"/>
        <v>-6.956120399012538</v>
      </c>
      <c r="S50" s="15">
        <f t="shared" si="11"/>
        <v>-4.6374135993416923</v>
      </c>
      <c r="T50" s="15">
        <f t="shared" si="12"/>
        <v>-2.3187067996708461</v>
      </c>
      <c r="U50" s="16">
        <v>0</v>
      </c>
      <c r="V50" s="15">
        <f t="shared" si="13"/>
        <v>2.3187067996708461</v>
      </c>
      <c r="W50" s="15">
        <f t="shared" si="14"/>
        <v>4.6374135993416923</v>
      </c>
      <c r="X50" s="15">
        <f t="shared" si="15"/>
        <v>6.956120399012538</v>
      </c>
    </row>
    <row r="51" spans="1:36" ht="17.25" customHeight="1">
      <c r="A51" s="14">
        <f>'b（手動）計算用'!E53</f>
        <v>58</v>
      </c>
      <c r="B51" s="84">
        <f t="shared" si="0"/>
        <v>25.651412450598098</v>
      </c>
      <c r="C51" s="84">
        <f t="shared" si="1"/>
        <v>0</v>
      </c>
      <c r="D51" s="84">
        <f t="shared" si="2"/>
        <v>0</v>
      </c>
      <c r="E51" s="84">
        <f t="shared" si="3"/>
        <v>0</v>
      </c>
      <c r="F51" s="84">
        <f t="shared" si="4"/>
        <v>25.651412450598098</v>
      </c>
      <c r="G51" s="15">
        <f t="shared" si="17"/>
        <v>18.669941450468247</v>
      </c>
      <c r="H51" s="15">
        <f t="shared" si="17"/>
        <v>20.99709845051153</v>
      </c>
      <c r="I51" s="15">
        <f t="shared" si="17"/>
        <v>23.324255450554816</v>
      </c>
      <c r="J51" s="15">
        <f t="shared" si="17"/>
        <v>25.651412450598098</v>
      </c>
      <c r="K51" s="15">
        <f t="shared" si="17"/>
        <v>27.97856945064138</v>
      </c>
      <c r="L51" s="15">
        <f t="shared" si="17"/>
        <v>30.305726450684666</v>
      </c>
      <c r="M51" s="15">
        <f t="shared" si="17"/>
        <v>32.632883450727945</v>
      </c>
      <c r="N51" s="15">
        <f t="shared" si="16"/>
        <v>27.047706650624068</v>
      </c>
      <c r="O51" s="84">
        <f t="shared" si="7"/>
        <v>0</v>
      </c>
      <c r="P51" s="84">
        <f t="shared" si="8"/>
        <v>3.4907355000649249</v>
      </c>
      <c r="Q51" s="84">
        <f t="shared" si="9"/>
        <v>3.4907355000649249</v>
      </c>
      <c r="R51" s="15">
        <f t="shared" si="10"/>
        <v>-6.9814710001298499</v>
      </c>
      <c r="S51" s="15">
        <f t="shared" si="11"/>
        <v>-4.6543140000865666</v>
      </c>
      <c r="T51" s="15">
        <f t="shared" si="12"/>
        <v>-2.3271570000432833</v>
      </c>
      <c r="U51" s="16">
        <v>0</v>
      </c>
      <c r="V51" s="15">
        <f t="shared" si="13"/>
        <v>2.3271570000432833</v>
      </c>
      <c r="W51" s="15">
        <f t="shared" si="14"/>
        <v>4.6543140000865666</v>
      </c>
      <c r="X51" s="15">
        <f t="shared" si="15"/>
        <v>6.9814710001298499</v>
      </c>
    </row>
    <row r="52" spans="1:36" ht="17.25" customHeight="1">
      <c r="A52" s="14">
        <f>'b（手動）計算用'!E54</f>
        <v>59</v>
      </c>
      <c r="B52" s="84">
        <f t="shared" si="0"/>
        <v>25.853240338806643</v>
      </c>
      <c r="C52" s="84">
        <f t="shared" si="1"/>
        <v>0</v>
      </c>
      <c r="D52" s="84">
        <f t="shared" si="2"/>
        <v>0</v>
      </c>
      <c r="E52" s="84">
        <f t="shared" si="3"/>
        <v>0</v>
      </c>
      <c r="F52" s="84">
        <f t="shared" si="4"/>
        <v>25.853240338806643</v>
      </c>
      <c r="G52" s="15">
        <f t="shared" si="17"/>
        <v>18.848114144162011</v>
      </c>
      <c r="H52" s="15">
        <f t="shared" si="17"/>
        <v>21.183156209043556</v>
      </c>
      <c r="I52" s="15">
        <f t="shared" si="17"/>
        <v>23.518198273925098</v>
      </c>
      <c r="J52" s="15">
        <f t="shared" si="17"/>
        <v>25.853240338806643</v>
      </c>
      <c r="K52" s="15">
        <f t="shared" si="17"/>
        <v>28.188282403688188</v>
      </c>
      <c r="L52" s="15">
        <f t="shared" si="17"/>
        <v>30.523324468569729</v>
      </c>
      <c r="M52" s="15">
        <f t="shared" si="17"/>
        <v>32.858366533451274</v>
      </c>
      <c r="N52" s="15">
        <f t="shared" si="16"/>
        <v>27.25426557773557</v>
      </c>
      <c r="O52" s="84">
        <f t="shared" si="7"/>
        <v>0</v>
      </c>
      <c r="P52" s="84">
        <f t="shared" si="8"/>
        <v>3.5025630973223154</v>
      </c>
      <c r="Q52" s="84">
        <f t="shared" si="9"/>
        <v>3.5025630973223154</v>
      </c>
      <c r="R52" s="15">
        <f t="shared" si="10"/>
        <v>-7.0051261946446308</v>
      </c>
      <c r="S52" s="15">
        <f t="shared" si="11"/>
        <v>-4.6700841297630875</v>
      </c>
      <c r="T52" s="15">
        <f t="shared" si="12"/>
        <v>-2.3350420648815438</v>
      </c>
      <c r="U52" s="16">
        <v>0</v>
      </c>
      <c r="V52" s="15">
        <f t="shared" si="13"/>
        <v>2.3350420648815438</v>
      </c>
      <c r="W52" s="15">
        <f t="shared" si="14"/>
        <v>4.6700841297630875</v>
      </c>
      <c r="X52" s="15">
        <f t="shared" si="15"/>
        <v>7.0051261946446308</v>
      </c>
    </row>
    <row r="53" spans="1:36" ht="17.25" customHeight="1">
      <c r="A53" s="14">
        <f>'b（手動）計算用'!E55</f>
        <v>60</v>
      </c>
      <c r="B53" s="84">
        <f t="shared" si="0"/>
        <v>26.049833165355018</v>
      </c>
      <c r="C53" s="84">
        <f t="shared" si="1"/>
        <v>0</v>
      </c>
      <c r="D53" s="84">
        <f t="shared" si="2"/>
        <v>0</v>
      </c>
      <c r="E53" s="84">
        <f t="shared" si="3"/>
        <v>0</v>
      </c>
      <c r="F53" s="84">
        <f t="shared" si="4"/>
        <v>26.049833165355018</v>
      </c>
      <c r="G53" s="15">
        <f t="shared" si="17"/>
        <v>19.022644681352297</v>
      </c>
      <c r="H53" s="15">
        <f t="shared" si="17"/>
        <v>21.365040842686536</v>
      </c>
      <c r="I53" s="15">
        <f t="shared" si="17"/>
        <v>23.707437004020779</v>
      </c>
      <c r="J53" s="15">
        <f t="shared" si="17"/>
        <v>26.049833165355018</v>
      </c>
      <c r="K53" s="15">
        <f t="shared" si="17"/>
        <v>28.392229326689257</v>
      </c>
      <c r="L53" s="15">
        <f t="shared" si="17"/>
        <v>30.7346254880235</v>
      </c>
      <c r="M53" s="15">
        <f t="shared" si="17"/>
        <v>33.077021649357739</v>
      </c>
      <c r="N53" s="15">
        <f t="shared" si="16"/>
        <v>27.455270862155562</v>
      </c>
      <c r="O53" s="84">
        <f t="shared" si="7"/>
        <v>0</v>
      </c>
      <c r="P53" s="84">
        <f t="shared" si="8"/>
        <v>3.5135942420013606</v>
      </c>
      <c r="Q53" s="84">
        <f t="shared" si="9"/>
        <v>3.5135942420013606</v>
      </c>
      <c r="R53" s="15">
        <f t="shared" si="10"/>
        <v>-7.0271884840027212</v>
      </c>
      <c r="S53" s="15">
        <f t="shared" si="11"/>
        <v>-4.6847923226684811</v>
      </c>
      <c r="T53" s="15">
        <f t="shared" si="12"/>
        <v>-2.3423961613342406</v>
      </c>
      <c r="U53" s="16">
        <v>0</v>
      </c>
      <c r="V53" s="15">
        <f t="shared" si="13"/>
        <v>2.3423961613342406</v>
      </c>
      <c r="W53" s="15">
        <f t="shared" si="14"/>
        <v>4.6847923226684811</v>
      </c>
      <c r="X53" s="15">
        <f t="shared" si="15"/>
        <v>7.0271884840027212</v>
      </c>
    </row>
    <row r="54" spans="1:36" s="17" customFormat="1" ht="16.5" customHeight="1">
      <c r="A54" s="14">
        <f>'b（手動）計算用'!E56</f>
        <v>61</v>
      </c>
      <c r="B54" s="84">
        <f t="shared" si="0"/>
        <v>26.24132244952332</v>
      </c>
      <c r="C54" s="84">
        <f t="shared" si="1"/>
        <v>0</v>
      </c>
      <c r="D54" s="84">
        <f t="shared" si="2"/>
        <v>0</v>
      </c>
      <c r="E54" s="84">
        <f t="shared" si="3"/>
        <v>0</v>
      </c>
      <c r="F54" s="84">
        <f t="shared" si="4"/>
        <v>26.24132244952332</v>
      </c>
      <c r="G54" s="15">
        <f t="shared" si="17"/>
        <v>19.19356678115232</v>
      </c>
      <c r="H54" s="15">
        <f t="shared" si="17"/>
        <v>21.542818670609321</v>
      </c>
      <c r="I54" s="15">
        <f t="shared" si="17"/>
        <v>23.892070560066319</v>
      </c>
      <c r="J54" s="15">
        <f t="shared" si="17"/>
        <v>26.24132244952332</v>
      </c>
      <c r="K54" s="15">
        <f t="shared" si="17"/>
        <v>28.590574338980321</v>
      </c>
      <c r="L54" s="15">
        <f t="shared" si="17"/>
        <v>30.939826228437319</v>
      </c>
      <c r="M54" s="15">
        <f t="shared" si="17"/>
        <v>33.28907811789432</v>
      </c>
      <c r="N54" s="15">
        <f t="shared" si="16"/>
        <v>27.650873583197519</v>
      </c>
      <c r="O54" s="84">
        <f t="shared" si="7"/>
        <v>0</v>
      </c>
      <c r="P54" s="84">
        <f t="shared" si="8"/>
        <v>3.5238778341855004</v>
      </c>
      <c r="Q54" s="84">
        <f t="shared" si="9"/>
        <v>3.5238778341855004</v>
      </c>
      <c r="R54" s="15">
        <f t="shared" si="10"/>
        <v>-7.0477556683710008</v>
      </c>
      <c r="S54" s="15">
        <f t="shared" si="11"/>
        <v>-4.6985037789140005</v>
      </c>
      <c r="T54" s="15">
        <f t="shared" si="12"/>
        <v>-2.3492518894570003</v>
      </c>
      <c r="U54" s="16">
        <v>0</v>
      </c>
      <c r="V54" s="15">
        <f t="shared" si="13"/>
        <v>2.3492518894570003</v>
      </c>
      <c r="W54" s="15">
        <f t="shared" si="14"/>
        <v>4.6985037789140005</v>
      </c>
      <c r="X54" s="15">
        <f t="shared" si="15"/>
        <v>7.0477556683710008</v>
      </c>
      <c r="Y54" s="6"/>
      <c r="Z54"/>
      <c r="AA54" s="67"/>
      <c r="AB54" s="68"/>
      <c r="AC54"/>
      <c r="AD54"/>
      <c r="AE54"/>
      <c r="AF54"/>
      <c r="AI54"/>
      <c r="AJ54"/>
    </row>
    <row r="55" spans="1:36" ht="16.5" customHeight="1">
      <c r="A55" s="14">
        <f>'b（手動）計算用'!E57</f>
        <v>62</v>
      </c>
      <c r="B55" s="84">
        <f t="shared" si="0"/>
        <v>26.427836686232958</v>
      </c>
      <c r="C55" s="84">
        <f t="shared" si="1"/>
        <v>0</v>
      </c>
      <c r="D55" s="84">
        <f t="shared" si="2"/>
        <v>0</v>
      </c>
      <c r="E55" s="84">
        <f t="shared" si="3"/>
        <v>0</v>
      </c>
      <c r="F55" s="84">
        <f t="shared" si="4"/>
        <v>26.427836686232958</v>
      </c>
      <c r="G55" s="15">
        <f t="shared" si="17"/>
        <v>19.360915839981828</v>
      </c>
      <c r="H55" s="15">
        <f t="shared" si="17"/>
        <v>21.716556122065537</v>
      </c>
      <c r="I55" s="15">
        <f t="shared" si="17"/>
        <v>24.072196404149249</v>
      </c>
      <c r="J55" s="15">
        <f t="shared" ref="J55:M113" si="18">$F55+U55</f>
        <v>26.427836686232958</v>
      </c>
      <c r="K55" s="15">
        <f t="shared" si="18"/>
        <v>28.783476968316666</v>
      </c>
      <c r="L55" s="15">
        <f t="shared" si="18"/>
        <v>31.139117250400378</v>
      </c>
      <c r="M55" s="15">
        <f t="shared" si="18"/>
        <v>33.494757532484087</v>
      </c>
      <c r="N55" s="15">
        <f t="shared" si="16"/>
        <v>27.841220855483183</v>
      </c>
      <c r="O55" s="84">
        <f t="shared" si="7"/>
        <v>0</v>
      </c>
      <c r="P55" s="84">
        <f t="shared" si="8"/>
        <v>3.5334604231255646</v>
      </c>
      <c r="Q55" s="84">
        <f t="shared" si="9"/>
        <v>3.5334604231255646</v>
      </c>
      <c r="R55" s="15">
        <f t="shared" si="10"/>
        <v>-7.0669208462511293</v>
      </c>
      <c r="S55" s="15">
        <f t="shared" si="11"/>
        <v>-4.7112805641674198</v>
      </c>
      <c r="T55" s="15">
        <f t="shared" si="12"/>
        <v>-2.3556402820837099</v>
      </c>
      <c r="U55" s="16">
        <v>0</v>
      </c>
      <c r="V55" s="15">
        <f t="shared" si="13"/>
        <v>2.3556402820837099</v>
      </c>
      <c r="W55" s="15">
        <f t="shared" si="14"/>
        <v>4.7112805641674198</v>
      </c>
      <c r="X55" s="15">
        <f t="shared" si="15"/>
        <v>7.0669208462511293</v>
      </c>
    </row>
    <row r="56" spans="1:36" ht="16.5" customHeight="1">
      <c r="A56" s="14">
        <f>'b（手動）計算用'!E58</f>
        <v>63</v>
      </c>
      <c r="B56" s="84">
        <f t="shared" si="0"/>
        <v>26.609501395141432</v>
      </c>
      <c r="C56" s="84">
        <f t="shared" si="1"/>
        <v>0</v>
      </c>
      <c r="D56" s="84">
        <f t="shared" si="2"/>
        <v>0</v>
      </c>
      <c r="E56" s="84">
        <f t="shared" si="3"/>
        <v>0</v>
      </c>
      <c r="F56" s="84">
        <f t="shared" si="4"/>
        <v>26.609501395141432</v>
      </c>
      <c r="G56" s="15">
        <f t="shared" ref="G56:I113" si="19">$F56+R56</f>
        <v>19.52472894219774</v>
      </c>
      <c r="H56" s="15">
        <f t="shared" si="19"/>
        <v>21.886319759845637</v>
      </c>
      <c r="I56" s="15">
        <f t="shared" si="19"/>
        <v>24.247910577493535</v>
      </c>
      <c r="J56" s="15">
        <f t="shared" si="18"/>
        <v>26.609501395141432</v>
      </c>
      <c r="K56" s="15">
        <f t="shared" si="18"/>
        <v>28.97109221278933</v>
      </c>
      <c r="L56" s="15">
        <f t="shared" si="18"/>
        <v>31.332683030437227</v>
      </c>
      <c r="M56" s="15">
        <f t="shared" si="18"/>
        <v>33.694273848085125</v>
      </c>
      <c r="N56" s="15">
        <f t="shared" si="16"/>
        <v>28.026455885730172</v>
      </c>
      <c r="O56" s="84">
        <f t="shared" si="7"/>
        <v>0</v>
      </c>
      <c r="P56" s="84">
        <f t="shared" si="8"/>
        <v>3.5423862264718458</v>
      </c>
      <c r="Q56" s="84">
        <f t="shared" si="9"/>
        <v>3.5423862264718458</v>
      </c>
      <c r="R56" s="15">
        <f t="shared" si="10"/>
        <v>-7.0847724529436915</v>
      </c>
      <c r="S56" s="15">
        <f t="shared" si="11"/>
        <v>-4.723181635295794</v>
      </c>
      <c r="T56" s="15">
        <f t="shared" si="12"/>
        <v>-2.361590817647897</v>
      </c>
      <c r="U56" s="16">
        <v>0</v>
      </c>
      <c r="V56" s="15">
        <f t="shared" si="13"/>
        <v>2.361590817647897</v>
      </c>
      <c r="W56" s="15">
        <f t="shared" si="14"/>
        <v>4.723181635295794</v>
      </c>
      <c r="X56" s="15">
        <f t="shared" si="15"/>
        <v>7.0847724529436915</v>
      </c>
    </row>
    <row r="57" spans="1:36" s="18" customFormat="1" ht="16.5" customHeight="1">
      <c r="A57" s="14">
        <f>'b（手動）計算用'!E59</f>
        <v>64</v>
      </c>
      <c r="B57" s="84">
        <f t="shared" si="0"/>
        <v>26.786439170717934</v>
      </c>
      <c r="C57" s="84">
        <f t="shared" si="1"/>
        <v>0</v>
      </c>
      <c r="D57" s="84">
        <f t="shared" si="2"/>
        <v>0</v>
      </c>
      <c r="E57" s="84">
        <f t="shared" si="3"/>
        <v>0</v>
      </c>
      <c r="F57" s="84">
        <f t="shared" si="4"/>
        <v>26.786439170717934</v>
      </c>
      <c r="G57" s="15">
        <f t="shared" si="19"/>
        <v>19.685044839378328</v>
      </c>
      <c r="H57" s="15">
        <f t="shared" si="19"/>
        <v>22.052176283158197</v>
      </c>
      <c r="I57" s="15">
        <f t="shared" si="19"/>
        <v>24.419307726938065</v>
      </c>
      <c r="J57" s="15">
        <f t="shared" si="18"/>
        <v>26.786439170717934</v>
      </c>
      <c r="K57" s="15">
        <f t="shared" si="18"/>
        <v>29.153570614497802</v>
      </c>
      <c r="L57" s="15">
        <f t="shared" si="18"/>
        <v>31.520702058277671</v>
      </c>
      <c r="M57" s="15">
        <f t="shared" si="18"/>
        <v>33.887833502057539</v>
      </c>
      <c r="N57" s="15">
        <f t="shared" si="16"/>
        <v>28.206718036985855</v>
      </c>
      <c r="O57" s="84">
        <f t="shared" si="7"/>
        <v>0</v>
      </c>
      <c r="P57" s="84">
        <f t="shared" si="8"/>
        <v>3.5506971656698036</v>
      </c>
      <c r="Q57" s="84">
        <f t="shared" si="9"/>
        <v>3.5506971656698036</v>
      </c>
      <c r="R57" s="15">
        <f t="shared" si="10"/>
        <v>-7.1013943313396073</v>
      </c>
      <c r="S57" s="15">
        <f t="shared" si="11"/>
        <v>-4.7342628875597379</v>
      </c>
      <c r="T57" s="15">
        <f t="shared" si="12"/>
        <v>-2.3671314437798689</v>
      </c>
      <c r="U57" s="16">
        <v>0</v>
      </c>
      <c r="V57" s="15">
        <f t="shared" si="13"/>
        <v>2.3671314437798689</v>
      </c>
      <c r="W57" s="15">
        <f t="shared" si="14"/>
        <v>4.7342628875597379</v>
      </c>
      <c r="X57" s="15">
        <f t="shared" si="15"/>
        <v>7.1013943313396073</v>
      </c>
      <c r="Y57" s="6"/>
      <c r="Z57"/>
      <c r="AA57" s="67"/>
      <c r="AB57" s="68"/>
      <c r="AC57"/>
      <c r="AD57"/>
      <c r="AE57"/>
      <c r="AF57"/>
      <c r="AI57"/>
      <c r="AJ57"/>
    </row>
    <row r="58" spans="1:36" s="18" customFormat="1" ht="16.5" customHeight="1">
      <c r="A58" s="14">
        <f>'b（手動）計算用'!E60</f>
        <v>65</v>
      </c>
      <c r="B58" s="84">
        <f t="shared" si="0"/>
        <v>26.95876973308642</v>
      </c>
      <c r="C58" s="84">
        <f t="shared" si="1"/>
        <v>0</v>
      </c>
      <c r="D58" s="84">
        <f t="shared" si="2"/>
        <v>0</v>
      </c>
      <c r="E58" s="84">
        <f t="shared" si="3"/>
        <v>0</v>
      </c>
      <c r="F58" s="84">
        <f t="shared" si="4"/>
        <v>26.95876973308642</v>
      </c>
      <c r="G58" s="15">
        <f t="shared" si="19"/>
        <v>19.841903903888138</v>
      </c>
      <c r="H58" s="15">
        <f t="shared" si="19"/>
        <v>22.214192513620901</v>
      </c>
      <c r="I58" s="15">
        <f t="shared" si="19"/>
        <v>24.586481123353661</v>
      </c>
      <c r="J58" s="15">
        <f t="shared" si="18"/>
        <v>26.95876973308642</v>
      </c>
      <c r="K58" s="15">
        <f t="shared" si="18"/>
        <v>29.33105834281918</v>
      </c>
      <c r="L58" s="15">
        <f t="shared" si="18"/>
        <v>31.703346952551939</v>
      </c>
      <c r="M58" s="15">
        <f t="shared" si="18"/>
        <v>34.075635562284702</v>
      </c>
      <c r="N58" s="15">
        <f t="shared" si="16"/>
        <v>28.382142898926077</v>
      </c>
      <c r="O58" s="84">
        <f t="shared" si="7"/>
        <v>0</v>
      </c>
      <c r="P58" s="84">
        <f t="shared" si="8"/>
        <v>3.5584329145991402</v>
      </c>
      <c r="Q58" s="84">
        <f t="shared" si="9"/>
        <v>3.5584329145991402</v>
      </c>
      <c r="R58" s="15">
        <f t="shared" si="10"/>
        <v>-7.1168658291982805</v>
      </c>
      <c r="S58" s="15">
        <f t="shared" si="11"/>
        <v>-4.74457721946552</v>
      </c>
      <c r="T58" s="15">
        <f t="shared" si="12"/>
        <v>-2.37228860973276</v>
      </c>
      <c r="U58" s="16">
        <v>0</v>
      </c>
      <c r="V58" s="15">
        <f t="shared" si="13"/>
        <v>2.37228860973276</v>
      </c>
      <c r="W58" s="15">
        <f t="shared" si="14"/>
        <v>4.74457721946552</v>
      </c>
      <c r="X58" s="15">
        <f t="shared" si="15"/>
        <v>7.1168658291982805</v>
      </c>
      <c r="Y58" s="6"/>
      <c r="Z58"/>
      <c r="AA58" s="67"/>
      <c r="AB58" s="68"/>
      <c r="AC58"/>
      <c r="AD58"/>
      <c r="AE58"/>
      <c r="AF58"/>
      <c r="AI58"/>
      <c r="AJ58"/>
    </row>
    <row r="59" spans="1:36" s="18" customFormat="1" ht="16.5" customHeight="1">
      <c r="A59" s="14">
        <f>'b（手動）計算用'!E61</f>
        <v>66</v>
      </c>
      <c r="B59" s="84">
        <f t="shared" si="0"/>
        <v>27.126609979445547</v>
      </c>
      <c r="C59" s="84">
        <f t="shared" si="1"/>
        <v>0</v>
      </c>
      <c r="D59" s="84">
        <f t="shared" si="2"/>
        <v>0</v>
      </c>
      <c r="E59" s="84">
        <f t="shared" si="3"/>
        <v>0</v>
      </c>
      <c r="F59" s="84">
        <f t="shared" si="4"/>
        <v>27.126609979445547</v>
      </c>
      <c r="G59" s="15">
        <f t="shared" si="19"/>
        <v>19.995348061718982</v>
      </c>
      <c r="H59" s="15">
        <f t="shared" si="19"/>
        <v>22.372435367627837</v>
      </c>
      <c r="I59" s="15">
        <f t="shared" si="19"/>
        <v>24.749522673536692</v>
      </c>
      <c r="J59" s="15">
        <f t="shared" si="18"/>
        <v>27.126609979445547</v>
      </c>
      <c r="K59" s="15">
        <f t="shared" si="18"/>
        <v>29.503697285354402</v>
      </c>
      <c r="L59" s="15">
        <f t="shared" si="18"/>
        <v>31.880784591263257</v>
      </c>
      <c r="M59" s="15">
        <f t="shared" si="18"/>
        <v>34.257871897172116</v>
      </c>
      <c r="N59" s="15">
        <f t="shared" si="16"/>
        <v>28.552862362990862</v>
      </c>
      <c r="O59" s="84">
        <f t="shared" si="7"/>
        <v>0</v>
      </c>
      <c r="P59" s="84">
        <f t="shared" si="8"/>
        <v>3.5656309588632831</v>
      </c>
      <c r="Q59" s="84">
        <f t="shared" si="9"/>
        <v>3.5656309588632831</v>
      </c>
      <c r="R59" s="15">
        <f t="shared" si="10"/>
        <v>-7.1312619177265661</v>
      </c>
      <c r="S59" s="15">
        <f t="shared" si="11"/>
        <v>-4.7541746118177111</v>
      </c>
      <c r="T59" s="15">
        <f t="shared" si="12"/>
        <v>-2.3770873059088555</v>
      </c>
      <c r="U59" s="16">
        <v>0</v>
      </c>
      <c r="V59" s="15">
        <f t="shared" si="13"/>
        <v>2.3770873059088555</v>
      </c>
      <c r="W59" s="15">
        <f t="shared" si="14"/>
        <v>4.7541746118177111</v>
      </c>
      <c r="X59" s="15">
        <f t="shared" si="15"/>
        <v>7.1312619177265661</v>
      </c>
      <c r="Y59" s="6"/>
      <c r="Z59"/>
      <c r="AA59" s="67"/>
      <c r="AB59" s="68"/>
      <c r="AC59"/>
      <c r="AD59"/>
      <c r="AE59"/>
      <c r="AF59"/>
      <c r="AI59"/>
      <c r="AJ59"/>
    </row>
    <row r="60" spans="1:36" s="18" customFormat="1" ht="16.5" customHeight="1">
      <c r="A60" s="14">
        <f>'b（手動）計算用'!E62</f>
        <v>67</v>
      </c>
      <c r="B60" s="84">
        <f t="shared" si="0"/>
        <v>27.290074035895831</v>
      </c>
      <c r="C60" s="84">
        <f t="shared" si="1"/>
        <v>0</v>
      </c>
      <c r="D60" s="84">
        <f t="shared" si="2"/>
        <v>0</v>
      </c>
      <c r="E60" s="84">
        <f t="shared" si="3"/>
        <v>0</v>
      </c>
      <c r="F60" s="84">
        <f t="shared" si="4"/>
        <v>27.290074035895831</v>
      </c>
      <c r="G60" s="15">
        <f t="shared" si="19"/>
        <v>20.145420709004579</v>
      </c>
      <c r="H60" s="15">
        <f t="shared" si="19"/>
        <v>22.526971817968331</v>
      </c>
      <c r="I60" s="15">
        <f t="shared" si="19"/>
        <v>24.908522926932079</v>
      </c>
      <c r="J60" s="15">
        <f t="shared" si="18"/>
        <v>27.290074035895831</v>
      </c>
      <c r="K60" s="15">
        <f t="shared" si="18"/>
        <v>29.671625144859583</v>
      </c>
      <c r="L60" s="15">
        <f t="shared" si="18"/>
        <v>32.053176253823331</v>
      </c>
      <c r="M60" s="15">
        <f t="shared" si="18"/>
        <v>34.434727362787086</v>
      </c>
      <c r="N60" s="15">
        <f t="shared" si="16"/>
        <v>28.719004701274081</v>
      </c>
      <c r="O60" s="84">
        <f t="shared" si="7"/>
        <v>0</v>
      </c>
      <c r="P60" s="84">
        <f t="shared" si="8"/>
        <v>3.5723266634456259</v>
      </c>
      <c r="Q60" s="84">
        <f t="shared" si="9"/>
        <v>3.5723266634456259</v>
      </c>
      <c r="R60" s="15">
        <f t="shared" si="10"/>
        <v>-7.1446533268912518</v>
      </c>
      <c r="S60" s="15">
        <f t="shared" si="11"/>
        <v>-4.7631022179275009</v>
      </c>
      <c r="T60" s="15">
        <f t="shared" si="12"/>
        <v>-2.3815511089637504</v>
      </c>
      <c r="U60" s="16">
        <v>0</v>
      </c>
      <c r="V60" s="15">
        <f t="shared" si="13"/>
        <v>2.3815511089637504</v>
      </c>
      <c r="W60" s="15">
        <f t="shared" si="14"/>
        <v>4.7631022179275009</v>
      </c>
      <c r="X60" s="15">
        <f t="shared" si="15"/>
        <v>7.1446533268912518</v>
      </c>
      <c r="Y60" s="6"/>
      <c r="Z60"/>
      <c r="AA60" s="67"/>
      <c r="AB60" s="68"/>
      <c r="AC60"/>
      <c r="AD60"/>
      <c r="AE60"/>
      <c r="AF60"/>
      <c r="AI60"/>
      <c r="AJ60"/>
    </row>
    <row r="61" spans="1:36" s="18" customFormat="1" ht="16.5" customHeight="1">
      <c r="A61" s="14">
        <f>'b（手動）計算用'!E63</f>
        <v>68</v>
      </c>
      <c r="B61" s="84">
        <f t="shared" si="0"/>
        <v>27.449273309522688</v>
      </c>
      <c r="C61" s="84">
        <f t="shared" si="1"/>
        <v>0</v>
      </c>
      <c r="D61" s="84">
        <f t="shared" si="2"/>
        <v>0</v>
      </c>
      <c r="E61" s="84">
        <f t="shared" si="3"/>
        <v>0</v>
      </c>
      <c r="F61" s="84">
        <f t="shared" si="4"/>
        <v>27.449273309522688</v>
      </c>
      <c r="G61" s="15">
        <f t="shared" si="19"/>
        <v>20.292166616048348</v>
      </c>
      <c r="H61" s="15">
        <f t="shared" si="19"/>
        <v>22.677868847206462</v>
      </c>
      <c r="I61" s="15">
        <f t="shared" si="19"/>
        <v>25.063571078364575</v>
      </c>
      <c r="J61" s="15">
        <f t="shared" si="18"/>
        <v>27.449273309522688</v>
      </c>
      <c r="K61" s="15">
        <f t="shared" si="18"/>
        <v>29.834975540680801</v>
      </c>
      <c r="L61" s="15">
        <f t="shared" si="18"/>
        <v>32.220677771838915</v>
      </c>
      <c r="M61" s="15">
        <f t="shared" si="18"/>
        <v>34.606380002997028</v>
      </c>
      <c r="N61" s="15">
        <f t="shared" si="16"/>
        <v>28.880694648217556</v>
      </c>
      <c r="O61" s="84">
        <f t="shared" si="7"/>
        <v>0</v>
      </c>
      <c r="P61" s="84">
        <f t="shared" si="8"/>
        <v>3.5785533467371704</v>
      </c>
      <c r="Q61" s="84">
        <f t="shared" si="9"/>
        <v>3.5785533467371704</v>
      </c>
      <c r="R61" s="15">
        <f t="shared" si="10"/>
        <v>-7.1571066934743408</v>
      </c>
      <c r="S61" s="15">
        <f t="shared" si="11"/>
        <v>-4.7714044623162275</v>
      </c>
      <c r="T61" s="15">
        <f t="shared" si="12"/>
        <v>-2.3857022311581138</v>
      </c>
      <c r="U61" s="16">
        <v>0</v>
      </c>
      <c r="V61" s="15">
        <f t="shared" si="13"/>
        <v>2.3857022311581138</v>
      </c>
      <c r="W61" s="15">
        <f t="shared" si="14"/>
        <v>4.7714044623162275</v>
      </c>
      <c r="X61" s="15">
        <f t="shared" si="15"/>
        <v>7.1571066934743408</v>
      </c>
      <c r="Y61" s="6"/>
      <c r="Z61"/>
      <c r="AA61" s="67"/>
      <c r="AB61" s="68"/>
      <c r="AC61"/>
      <c r="AD61"/>
      <c r="AE61"/>
      <c r="AF61"/>
      <c r="AI61"/>
      <c r="AJ61"/>
    </row>
    <row r="62" spans="1:36" s="18" customFormat="1" ht="16.5" customHeight="1">
      <c r="A62" s="14">
        <f>'b（手動）計算用'!E64</f>
        <v>69</v>
      </c>
      <c r="B62" s="84">
        <f t="shared" si="0"/>
        <v>27.604316540600752</v>
      </c>
      <c r="C62" s="84">
        <f t="shared" si="1"/>
        <v>0</v>
      </c>
      <c r="D62" s="84">
        <f t="shared" si="2"/>
        <v>0</v>
      </c>
      <c r="E62" s="84">
        <f t="shared" si="3"/>
        <v>0</v>
      </c>
      <c r="F62" s="84">
        <f t="shared" si="4"/>
        <v>27.604316540600752</v>
      </c>
      <c r="G62" s="15">
        <f t="shared" si="19"/>
        <v>20.435631822188558</v>
      </c>
      <c r="H62" s="15">
        <f t="shared" si="19"/>
        <v>22.825193394992624</v>
      </c>
      <c r="I62" s="15">
        <f t="shared" si="19"/>
        <v>25.214754967796686</v>
      </c>
      <c r="J62" s="15">
        <f t="shared" si="18"/>
        <v>27.604316540600752</v>
      </c>
      <c r="K62" s="15">
        <f t="shared" si="18"/>
        <v>29.993878113404818</v>
      </c>
      <c r="L62" s="15">
        <f t="shared" si="18"/>
        <v>32.383439686208881</v>
      </c>
      <c r="M62" s="15">
        <f t="shared" si="18"/>
        <v>34.773001259012943</v>
      </c>
      <c r="N62" s="15">
        <f t="shared" si="16"/>
        <v>29.038053484283193</v>
      </c>
      <c r="O62" s="84">
        <f t="shared" si="7"/>
        <v>0</v>
      </c>
      <c r="P62" s="84">
        <f t="shared" si="8"/>
        <v>3.5843423592060972</v>
      </c>
      <c r="Q62" s="84">
        <f t="shared" si="9"/>
        <v>3.5843423592060972</v>
      </c>
      <c r="R62" s="15">
        <f t="shared" si="10"/>
        <v>-7.1686847184121945</v>
      </c>
      <c r="S62" s="15">
        <f t="shared" si="11"/>
        <v>-4.7791231456081293</v>
      </c>
      <c r="T62" s="15">
        <f t="shared" si="12"/>
        <v>-2.3895615728040647</v>
      </c>
      <c r="U62" s="16">
        <v>0</v>
      </c>
      <c r="V62" s="15">
        <f t="shared" si="13"/>
        <v>2.3895615728040647</v>
      </c>
      <c r="W62" s="15">
        <f t="shared" si="14"/>
        <v>4.7791231456081293</v>
      </c>
      <c r="X62" s="15">
        <f t="shared" si="15"/>
        <v>7.1686847184121945</v>
      </c>
      <c r="Y62" s="6"/>
      <c r="Z62"/>
      <c r="AA62" s="67"/>
      <c r="AB62" s="68"/>
      <c r="AC62"/>
      <c r="AD62"/>
      <c r="AE62"/>
      <c r="AF62"/>
      <c r="AI62"/>
      <c r="AJ62"/>
    </row>
    <row r="63" spans="1:36" s="18" customFormat="1" ht="16.5" customHeight="1">
      <c r="A63" s="14">
        <f>'b（手動）計算用'!E65</f>
        <v>70</v>
      </c>
      <c r="B63" s="84">
        <f t="shared" si="0"/>
        <v>27.755309854799538</v>
      </c>
      <c r="C63" s="84">
        <f t="shared" si="1"/>
        <v>0</v>
      </c>
      <c r="D63" s="84">
        <f t="shared" si="2"/>
        <v>0</v>
      </c>
      <c r="E63" s="84">
        <f t="shared" si="3"/>
        <v>0</v>
      </c>
      <c r="F63" s="84">
        <f t="shared" si="4"/>
        <v>27.755309854799538</v>
      </c>
      <c r="G63" s="15">
        <f t="shared" si="19"/>
        <v>20.575863524354673</v>
      </c>
      <c r="H63" s="15">
        <f t="shared" si="19"/>
        <v>22.969012301169627</v>
      </c>
      <c r="I63" s="15">
        <f t="shared" si="19"/>
        <v>25.362161077984581</v>
      </c>
      <c r="J63" s="15">
        <f t="shared" si="18"/>
        <v>27.755309854799538</v>
      </c>
      <c r="K63" s="15">
        <f t="shared" si="18"/>
        <v>30.148458631614496</v>
      </c>
      <c r="L63" s="15">
        <f t="shared" si="18"/>
        <v>32.541607408429449</v>
      </c>
      <c r="M63" s="15">
        <f t="shared" si="18"/>
        <v>34.934756185244403</v>
      </c>
      <c r="N63" s="15">
        <f t="shared" si="16"/>
        <v>29.191199120888513</v>
      </c>
      <c r="O63" s="84">
        <f t="shared" si="7"/>
        <v>0</v>
      </c>
      <c r="P63" s="84">
        <f t="shared" si="8"/>
        <v>3.5897231652224333</v>
      </c>
      <c r="Q63" s="84">
        <f t="shared" si="9"/>
        <v>3.5897231652224333</v>
      </c>
      <c r="R63" s="15">
        <f t="shared" si="10"/>
        <v>-7.1794463304448666</v>
      </c>
      <c r="S63" s="15">
        <f t="shared" si="11"/>
        <v>-4.7862975536299111</v>
      </c>
      <c r="T63" s="15">
        <f t="shared" si="12"/>
        <v>-2.3931487768149555</v>
      </c>
      <c r="U63" s="16">
        <v>0</v>
      </c>
      <c r="V63" s="15">
        <f t="shared" si="13"/>
        <v>2.3931487768149555</v>
      </c>
      <c r="W63" s="15">
        <f t="shared" si="14"/>
        <v>4.7862975536299111</v>
      </c>
      <c r="X63" s="15">
        <f t="shared" si="15"/>
        <v>7.1794463304448666</v>
      </c>
      <c r="Y63" s="6"/>
      <c r="Z63"/>
      <c r="AA63" s="67"/>
      <c r="AB63" s="68"/>
      <c r="AC63"/>
      <c r="AD63"/>
      <c r="AE63"/>
      <c r="AF63"/>
      <c r="AI63"/>
      <c r="AJ63"/>
    </row>
    <row r="64" spans="1:36" s="18" customFormat="1" ht="16.5" customHeight="1">
      <c r="A64" s="14">
        <f>'b（手動）計算用'!E66</f>
        <v>71</v>
      </c>
      <c r="B64" s="84">
        <f t="shared" si="0"/>
        <v>27.902356815284058</v>
      </c>
      <c r="C64" s="84">
        <f t="shared" si="1"/>
        <v>0</v>
      </c>
      <c r="D64" s="84">
        <f t="shared" si="2"/>
        <v>0</v>
      </c>
      <c r="E64" s="84">
        <f t="shared" si="3"/>
        <v>0</v>
      </c>
      <c r="F64" s="84">
        <f t="shared" si="4"/>
        <v>27.902356815284058</v>
      </c>
      <c r="G64" s="15">
        <f t="shared" si="19"/>
        <v>20.712909961742874</v>
      </c>
      <c r="H64" s="15">
        <f t="shared" si="19"/>
        <v>23.109392246256601</v>
      </c>
      <c r="I64" s="15">
        <f t="shared" si="19"/>
        <v>25.505874530770331</v>
      </c>
      <c r="J64" s="15">
        <f t="shared" si="18"/>
        <v>27.902356815284058</v>
      </c>
      <c r="K64" s="15">
        <f t="shared" si="18"/>
        <v>30.298839099797785</v>
      </c>
      <c r="L64" s="15">
        <f t="shared" si="18"/>
        <v>32.695321384311512</v>
      </c>
      <c r="M64" s="15">
        <f t="shared" si="18"/>
        <v>35.091803668825243</v>
      </c>
      <c r="N64" s="15">
        <f t="shared" si="16"/>
        <v>29.340246185992296</v>
      </c>
      <c r="O64" s="84">
        <f t="shared" si="7"/>
        <v>0</v>
      </c>
      <c r="P64" s="84">
        <f t="shared" si="8"/>
        <v>3.5947234267705923</v>
      </c>
      <c r="Q64" s="84">
        <f t="shared" si="9"/>
        <v>3.5947234267705923</v>
      </c>
      <c r="R64" s="15">
        <f t="shared" si="10"/>
        <v>-7.1894468535411846</v>
      </c>
      <c r="S64" s="15">
        <f t="shared" si="11"/>
        <v>-4.7929645690274567</v>
      </c>
      <c r="T64" s="15">
        <f t="shared" si="12"/>
        <v>-2.3964822845137284</v>
      </c>
      <c r="U64" s="16">
        <v>0</v>
      </c>
      <c r="V64" s="15">
        <f t="shared" si="13"/>
        <v>2.3964822845137284</v>
      </c>
      <c r="W64" s="15">
        <f t="shared" si="14"/>
        <v>4.7929645690274567</v>
      </c>
      <c r="X64" s="15">
        <f t="shared" si="15"/>
        <v>7.1894468535411846</v>
      </c>
      <c r="Y64" s="6"/>
      <c r="Z64"/>
      <c r="AA64" s="67"/>
      <c r="AB64" s="68"/>
      <c r="AC64"/>
      <c r="AD64"/>
      <c r="AE64"/>
      <c r="AF64"/>
      <c r="AI64"/>
      <c r="AJ64"/>
    </row>
    <row r="65" spans="1:36" s="18" customFormat="1" ht="16.5" customHeight="1">
      <c r="A65" s="14">
        <f>'b（手動）計算用'!E67</f>
        <v>72</v>
      </c>
      <c r="B65" s="84">
        <f t="shared" si="0"/>
        <v>28.045558474615788</v>
      </c>
      <c r="C65" s="84">
        <f t="shared" si="1"/>
        <v>0</v>
      </c>
      <c r="D65" s="84">
        <f t="shared" si="2"/>
        <v>0</v>
      </c>
      <c r="E65" s="84">
        <f t="shared" si="3"/>
        <v>0</v>
      </c>
      <c r="F65" s="84">
        <f t="shared" si="4"/>
        <v>28.045558474615788</v>
      </c>
      <c r="G65" s="15">
        <f t="shared" si="19"/>
        <v>20.84682029865656</v>
      </c>
      <c r="H65" s="15">
        <f t="shared" si="19"/>
        <v>23.246399690642967</v>
      </c>
      <c r="I65" s="15">
        <f t="shared" si="19"/>
        <v>25.645979082629378</v>
      </c>
      <c r="J65" s="15">
        <f t="shared" si="18"/>
        <v>28.045558474615788</v>
      </c>
      <c r="K65" s="15">
        <f t="shared" si="18"/>
        <v>30.445137866602199</v>
      </c>
      <c r="L65" s="15">
        <f t="shared" si="18"/>
        <v>32.844717258588609</v>
      </c>
      <c r="M65" s="15">
        <f t="shared" si="18"/>
        <v>35.244296650575016</v>
      </c>
      <c r="N65" s="15">
        <f t="shared" si="16"/>
        <v>29.485306109807635</v>
      </c>
      <c r="O65" s="84">
        <f t="shared" si="7"/>
        <v>0</v>
      </c>
      <c r="P65" s="84">
        <f t="shared" si="8"/>
        <v>3.599369087979615</v>
      </c>
      <c r="Q65" s="84">
        <f t="shared" si="9"/>
        <v>3.599369087979615</v>
      </c>
      <c r="R65" s="15">
        <f t="shared" si="10"/>
        <v>-7.1987381759592299</v>
      </c>
      <c r="S65" s="15">
        <f t="shared" si="11"/>
        <v>-4.7991587839728203</v>
      </c>
      <c r="T65" s="15">
        <f t="shared" si="12"/>
        <v>-2.3995793919864101</v>
      </c>
      <c r="U65" s="16">
        <v>0</v>
      </c>
      <c r="V65" s="15">
        <f t="shared" si="13"/>
        <v>2.3995793919864101</v>
      </c>
      <c r="W65" s="15">
        <f t="shared" si="14"/>
        <v>4.7991587839728203</v>
      </c>
      <c r="X65" s="15">
        <f t="shared" si="15"/>
        <v>7.1987381759592299</v>
      </c>
      <c r="Y65" s="6"/>
      <c r="Z65"/>
      <c r="AA65" s="67"/>
      <c r="AB65" s="68"/>
      <c r="AC65"/>
      <c r="AD65"/>
      <c r="AE65"/>
      <c r="AF65"/>
      <c r="AI65"/>
      <c r="AJ65"/>
    </row>
    <row r="66" spans="1:36" s="18" customFormat="1" ht="16.5" customHeight="1">
      <c r="A66" s="14">
        <f>'b（手動）計算用'!E68</f>
        <v>73</v>
      </c>
      <c r="B66" s="84">
        <f t="shared" si="0"/>
        <v>28.185013426370372</v>
      </c>
      <c r="C66" s="84">
        <f t="shared" si="1"/>
        <v>0</v>
      </c>
      <c r="D66" s="84">
        <f t="shared" si="2"/>
        <v>0</v>
      </c>
      <c r="E66" s="84">
        <f t="shared" si="3"/>
        <v>0</v>
      </c>
      <c r="F66" s="84">
        <f t="shared" si="4"/>
        <v>28.185013426370372</v>
      </c>
      <c r="G66" s="15">
        <f t="shared" si="19"/>
        <v>20.97764450721737</v>
      </c>
      <c r="H66" s="15">
        <f t="shared" si="19"/>
        <v>23.380100813601704</v>
      </c>
      <c r="I66" s="15">
        <f t="shared" si="19"/>
        <v>25.782557119986038</v>
      </c>
      <c r="J66" s="15">
        <f t="shared" si="18"/>
        <v>28.185013426370372</v>
      </c>
      <c r="K66" s="15">
        <f t="shared" si="18"/>
        <v>30.587469732754705</v>
      </c>
      <c r="L66" s="15">
        <f t="shared" si="18"/>
        <v>32.989926039139036</v>
      </c>
      <c r="M66" s="15">
        <f t="shared" si="18"/>
        <v>35.392382345523373</v>
      </c>
      <c r="N66" s="15">
        <f t="shared" si="16"/>
        <v>29.62648721020097</v>
      </c>
      <c r="O66" s="84">
        <f t="shared" si="7"/>
        <v>0</v>
      </c>
      <c r="P66" s="84">
        <f t="shared" si="8"/>
        <v>3.6036844595764999</v>
      </c>
      <c r="Q66" s="84">
        <f t="shared" si="9"/>
        <v>3.6036844595764999</v>
      </c>
      <c r="R66" s="15">
        <f t="shared" si="10"/>
        <v>-7.2073689191529997</v>
      </c>
      <c r="S66" s="15">
        <f t="shared" si="11"/>
        <v>-4.8049126127686668</v>
      </c>
      <c r="T66" s="15">
        <f t="shared" si="12"/>
        <v>-2.4024563063843334</v>
      </c>
      <c r="U66" s="16">
        <v>0</v>
      </c>
      <c r="V66" s="15">
        <f t="shared" si="13"/>
        <v>2.4024563063843334</v>
      </c>
      <c r="W66" s="15">
        <f t="shared" si="14"/>
        <v>4.8049126127686668</v>
      </c>
      <c r="X66" s="15">
        <f t="shared" si="15"/>
        <v>7.2073689191529997</v>
      </c>
      <c r="Y66" s="6"/>
      <c r="Z66"/>
      <c r="AA66" s="67"/>
      <c r="AB66" s="68"/>
      <c r="AC66"/>
      <c r="AD66"/>
      <c r="AE66"/>
      <c r="AF66"/>
      <c r="AI66"/>
      <c r="AJ66"/>
    </row>
    <row r="67" spans="1:36" s="18" customFormat="1" ht="16.5" customHeight="1">
      <c r="A67" s="14">
        <f>'b（手動）計算用'!E69</f>
        <v>74</v>
      </c>
      <c r="B67" s="84">
        <f t="shared" ref="B67:B113" si="20">$AB$9*(1+ ($AB$11-1)*EXP(-$AB$12*(A67-$AB$10)) )^(1/(1-$AB$11))</f>
        <v>28.320817856398016</v>
      </c>
      <c r="C67" s="84">
        <f t="shared" ref="C67:C113" si="21">$AB$21/(1+ EXP(-$AB$23*(A67-$AB$22)) )</f>
        <v>0</v>
      </c>
      <c r="D67" s="84">
        <f t="shared" ref="D67:D113" si="22">$AB$32*EXP(-EXP(-$AB$34*(A67-$AB$33)) )</f>
        <v>0</v>
      </c>
      <c r="E67" s="84">
        <f t="shared" ref="E67:E113" si="23">$AB$43*(1-EXP(-$AB$45*(A67-$AB$44)))</f>
        <v>0</v>
      </c>
      <c r="F67" s="84">
        <f t="shared" ref="F67:F113" si="24">IF($AA$2=1,B67,IF($AA$2=2,C67,IF($AA$2=3,D67,E67)))</f>
        <v>28.320817856398016</v>
      </c>
      <c r="G67" s="15">
        <f t="shared" si="19"/>
        <v>21.105433251351364</v>
      </c>
      <c r="H67" s="15">
        <f t="shared" si="19"/>
        <v>23.510561453033581</v>
      </c>
      <c r="I67" s="15">
        <f t="shared" si="19"/>
        <v>25.915689654715798</v>
      </c>
      <c r="J67" s="15">
        <f t="shared" si="18"/>
        <v>28.320817856398016</v>
      </c>
      <c r="K67" s="15">
        <f t="shared" si="18"/>
        <v>30.725946058080233</v>
      </c>
      <c r="L67" s="15">
        <f t="shared" si="18"/>
        <v>33.13107425976245</v>
      </c>
      <c r="M67" s="15">
        <f t="shared" si="18"/>
        <v>35.536202461444667</v>
      </c>
      <c r="N67" s="15">
        <f t="shared" si="16"/>
        <v>29.763894777407348</v>
      </c>
      <c r="O67" s="84">
        <f t="shared" si="7"/>
        <v>0</v>
      </c>
      <c r="P67" s="84">
        <f t="shared" si="8"/>
        <v>3.6076923025233265</v>
      </c>
      <c r="Q67" s="84">
        <f t="shared" si="9"/>
        <v>3.6076923025233265</v>
      </c>
      <c r="R67" s="15">
        <f t="shared" si="10"/>
        <v>-7.215384605046653</v>
      </c>
      <c r="S67" s="15">
        <f t="shared" si="11"/>
        <v>-4.8102564033644351</v>
      </c>
      <c r="T67" s="15">
        <f t="shared" si="12"/>
        <v>-2.4051282016822175</v>
      </c>
      <c r="U67" s="16">
        <v>0</v>
      </c>
      <c r="V67" s="15">
        <f t="shared" si="13"/>
        <v>2.4051282016822175</v>
      </c>
      <c r="W67" s="15">
        <f t="shared" si="14"/>
        <v>4.8102564033644351</v>
      </c>
      <c r="X67" s="15">
        <f t="shared" si="15"/>
        <v>7.215384605046653</v>
      </c>
      <c r="Y67" s="6"/>
      <c r="Z67"/>
      <c r="AA67" s="67"/>
      <c r="AB67" s="68"/>
      <c r="AC67"/>
      <c r="AD67"/>
      <c r="AE67"/>
      <c r="AF67"/>
      <c r="AI67"/>
      <c r="AJ67"/>
    </row>
    <row r="68" spans="1:36" s="18" customFormat="1" ht="16.5" customHeight="1">
      <c r="A68" s="14">
        <f>'b（手動）計算用'!E70</f>
        <v>75</v>
      </c>
      <c r="B68" s="84">
        <f t="shared" si="20"/>
        <v>28.453065593661222</v>
      </c>
      <c r="C68" s="84">
        <f t="shared" si="21"/>
        <v>0</v>
      </c>
      <c r="D68" s="84">
        <f t="shared" si="22"/>
        <v>0</v>
      </c>
      <c r="E68" s="84">
        <f t="shared" si="23"/>
        <v>0</v>
      </c>
      <c r="F68" s="84">
        <f t="shared" si="24"/>
        <v>28.453065593661222</v>
      </c>
      <c r="G68" s="15">
        <f t="shared" si="19"/>
        <v>21.230237773190588</v>
      </c>
      <c r="H68" s="15">
        <f t="shared" si="19"/>
        <v>23.6378470466808</v>
      </c>
      <c r="I68" s="15">
        <f t="shared" si="19"/>
        <v>26.045456320171013</v>
      </c>
      <c r="J68" s="15">
        <f t="shared" si="18"/>
        <v>28.453065593661222</v>
      </c>
      <c r="K68" s="15">
        <f t="shared" si="18"/>
        <v>30.860674867151431</v>
      </c>
      <c r="L68" s="15">
        <f t="shared" si="18"/>
        <v>33.26828414064164</v>
      </c>
      <c r="M68" s="15">
        <f t="shared" si="18"/>
        <v>35.675893414131856</v>
      </c>
      <c r="N68" s="15">
        <f t="shared" si="16"/>
        <v>29.897631157755349</v>
      </c>
      <c r="O68" s="84">
        <f t="shared" ref="O68:O113" si="25">$AF$9*A68^$AF$10</f>
        <v>0</v>
      </c>
      <c r="P68" s="84">
        <f t="shared" ref="P68:P113" si="26">$AF$19/(1+ EXP(-$AF$21*(A68-$AF$20)) )</f>
        <v>3.6114139102353162</v>
      </c>
      <c r="Q68" s="84">
        <f t="shared" ref="Q68:Q113" si="27">IF($AE$2=1,O68,P68)</f>
        <v>3.6114139102353162</v>
      </c>
      <c r="R68" s="15">
        <f t="shared" ref="R68:R115" si="28">-$Q68*2</f>
        <v>-7.2228278204706324</v>
      </c>
      <c r="S68" s="15">
        <f t="shared" ref="S68:S115" si="29">-$Q68*4/3</f>
        <v>-4.8152185469804216</v>
      </c>
      <c r="T68" s="15">
        <f t="shared" ref="T68:T115" si="30">-$Q68*2/3</f>
        <v>-2.4076092734902108</v>
      </c>
      <c r="U68" s="16">
        <v>0</v>
      </c>
      <c r="V68" s="15">
        <f t="shared" ref="V68:V115" si="31">$Q68*2/3</f>
        <v>2.4076092734902108</v>
      </c>
      <c r="W68" s="15">
        <f t="shared" ref="W68:W115" si="32">$Q68*4/3</f>
        <v>4.8152185469804216</v>
      </c>
      <c r="X68" s="15">
        <f t="shared" ref="X68:X115" si="33">$Q68*2</f>
        <v>7.2228278204706324</v>
      </c>
      <c r="Y68" s="6"/>
      <c r="Z68"/>
      <c r="AA68" s="67"/>
      <c r="AB68" s="68"/>
      <c r="AC68"/>
      <c r="AD68"/>
      <c r="AE68"/>
      <c r="AF68"/>
      <c r="AI68"/>
      <c r="AJ68"/>
    </row>
    <row r="69" spans="1:36" s="18" customFormat="1" ht="16.5" customHeight="1">
      <c r="A69" s="14">
        <f>'b（手動）計算用'!E71</f>
        <v>76</v>
      </c>
      <c r="B69" s="84">
        <f t="shared" si="20"/>
        <v>28.581848160592632</v>
      </c>
      <c r="C69" s="84">
        <f t="shared" si="21"/>
        <v>0</v>
      </c>
      <c r="D69" s="84">
        <f t="shared" si="22"/>
        <v>0</v>
      </c>
      <c r="E69" s="84">
        <f t="shared" si="23"/>
        <v>0</v>
      </c>
      <c r="F69" s="84">
        <f t="shared" si="24"/>
        <v>28.581848160592632</v>
      </c>
      <c r="G69" s="15">
        <f t="shared" si="19"/>
        <v>21.352109782800436</v>
      </c>
      <c r="H69" s="15">
        <f t="shared" si="19"/>
        <v>23.762022575397836</v>
      </c>
      <c r="I69" s="15">
        <f t="shared" si="19"/>
        <v>26.171935367995232</v>
      </c>
      <c r="J69" s="15">
        <f t="shared" si="18"/>
        <v>28.581848160592632</v>
      </c>
      <c r="K69" s="15">
        <f t="shared" si="18"/>
        <v>30.991760953190031</v>
      </c>
      <c r="L69" s="15">
        <f t="shared" si="18"/>
        <v>33.401673745787427</v>
      </c>
      <c r="M69" s="15">
        <f t="shared" si="18"/>
        <v>35.81158653838483</v>
      </c>
      <c r="N69" s="15">
        <f t="shared" si="16"/>
        <v>30.027795836151071</v>
      </c>
      <c r="O69" s="84">
        <f t="shared" si="25"/>
        <v>0</v>
      </c>
      <c r="P69" s="84">
        <f t="shared" si="26"/>
        <v>3.614869188896098</v>
      </c>
      <c r="Q69" s="84">
        <f t="shared" si="27"/>
        <v>3.614869188896098</v>
      </c>
      <c r="R69" s="15">
        <f t="shared" si="28"/>
        <v>-7.229738377792196</v>
      </c>
      <c r="S69" s="15">
        <f t="shared" si="29"/>
        <v>-4.8198255851947973</v>
      </c>
      <c r="T69" s="15">
        <f t="shared" si="30"/>
        <v>-2.4099127925973987</v>
      </c>
      <c r="U69" s="16">
        <v>0</v>
      </c>
      <c r="V69" s="15">
        <f t="shared" si="31"/>
        <v>2.4099127925973987</v>
      </c>
      <c r="W69" s="15">
        <f t="shared" si="32"/>
        <v>4.8198255851947973</v>
      </c>
      <c r="X69" s="15">
        <f t="shared" si="33"/>
        <v>7.229738377792196</v>
      </c>
      <c r="Y69" s="6"/>
      <c r="Z69"/>
      <c r="AA69" s="67"/>
      <c r="AB69" s="68"/>
      <c r="AC69"/>
      <c r="AD69"/>
      <c r="AE69"/>
      <c r="AF69"/>
      <c r="AI69"/>
      <c r="AJ69"/>
    </row>
    <row r="70" spans="1:36" s="18" customFormat="1" ht="16.5" customHeight="1">
      <c r="A70" s="14">
        <f>'b（手動）計算用'!E72</f>
        <v>77</v>
      </c>
      <c r="B70" s="84">
        <f t="shared" si="20"/>
        <v>28.707254822922518</v>
      </c>
      <c r="C70" s="84">
        <f t="shared" si="21"/>
        <v>0</v>
      </c>
      <c r="D70" s="84">
        <f t="shared" si="22"/>
        <v>0</v>
      </c>
      <c r="E70" s="84">
        <f t="shared" si="23"/>
        <v>0</v>
      </c>
      <c r="F70" s="84">
        <f t="shared" si="24"/>
        <v>28.707254822922518</v>
      </c>
      <c r="G70" s="15">
        <f t="shared" si="19"/>
        <v>21.471101351942941</v>
      </c>
      <c r="H70" s="15">
        <f t="shared" si="19"/>
        <v>23.883152508936135</v>
      </c>
      <c r="I70" s="15">
        <f t="shared" si="19"/>
        <v>26.295203665929325</v>
      </c>
      <c r="J70" s="15">
        <f t="shared" si="18"/>
        <v>28.707254822922518</v>
      </c>
      <c r="K70" s="15">
        <f t="shared" si="18"/>
        <v>31.119305979915712</v>
      </c>
      <c r="L70" s="15">
        <f t="shared" si="18"/>
        <v>33.531357136908902</v>
      </c>
      <c r="M70" s="15">
        <f t="shared" si="18"/>
        <v>35.943408293902095</v>
      </c>
      <c r="N70" s="15">
        <f t="shared" si="16"/>
        <v>30.154485517118435</v>
      </c>
      <c r="O70" s="84">
        <f t="shared" si="25"/>
        <v>0</v>
      </c>
      <c r="P70" s="84">
        <f t="shared" si="26"/>
        <v>3.6180767354897885</v>
      </c>
      <c r="Q70" s="84">
        <f t="shared" si="27"/>
        <v>3.6180767354897885</v>
      </c>
      <c r="R70" s="15">
        <f t="shared" si="28"/>
        <v>-7.236153470979577</v>
      </c>
      <c r="S70" s="15">
        <f t="shared" si="29"/>
        <v>-4.8241023139863843</v>
      </c>
      <c r="T70" s="15">
        <f t="shared" si="30"/>
        <v>-2.4120511569931922</v>
      </c>
      <c r="U70" s="16">
        <v>0</v>
      </c>
      <c r="V70" s="15">
        <f t="shared" si="31"/>
        <v>2.4120511569931922</v>
      </c>
      <c r="W70" s="15">
        <f t="shared" si="32"/>
        <v>4.8241023139863843</v>
      </c>
      <c r="X70" s="15">
        <f t="shared" si="33"/>
        <v>7.236153470979577</v>
      </c>
      <c r="Y70" s="6"/>
      <c r="Z70"/>
      <c r="AA70" s="67"/>
      <c r="AB70" s="68"/>
      <c r="AC70"/>
      <c r="AD70"/>
      <c r="AE70"/>
      <c r="AF70"/>
      <c r="AI70"/>
      <c r="AJ70"/>
    </row>
    <row r="71" spans="1:36" s="18" customFormat="1" ht="16.5" customHeight="1">
      <c r="A71" s="14">
        <f>'b（手動）計算用'!E73</f>
        <v>78</v>
      </c>
      <c r="B71" s="84">
        <f t="shared" si="20"/>
        <v>28.829372638932146</v>
      </c>
      <c r="C71" s="84">
        <f t="shared" si="21"/>
        <v>0</v>
      </c>
      <c r="D71" s="84">
        <f t="shared" si="22"/>
        <v>0</v>
      </c>
      <c r="E71" s="84">
        <f t="shared" si="23"/>
        <v>0</v>
      </c>
      <c r="F71" s="84">
        <f t="shared" si="24"/>
        <v>28.829372638932146</v>
      </c>
      <c r="G71" s="15">
        <f t="shared" si="19"/>
        <v>21.587264812415135</v>
      </c>
      <c r="H71" s="15">
        <f t="shared" si="19"/>
        <v>24.001300754587472</v>
      </c>
      <c r="I71" s="15">
        <f t="shared" si="19"/>
        <v>26.415336696759809</v>
      </c>
      <c r="J71" s="15">
        <f t="shared" si="18"/>
        <v>28.829372638932146</v>
      </c>
      <c r="K71" s="15">
        <f t="shared" si="18"/>
        <v>31.243408581104482</v>
      </c>
      <c r="L71" s="15">
        <f t="shared" si="18"/>
        <v>33.657444523276816</v>
      </c>
      <c r="M71" s="15">
        <f t="shared" si="18"/>
        <v>36.071480465449156</v>
      </c>
      <c r="N71" s="15">
        <f t="shared" si="16"/>
        <v>30.277794204235548</v>
      </c>
      <c r="O71" s="84">
        <f t="shared" si="25"/>
        <v>0</v>
      </c>
      <c r="P71" s="84">
        <f t="shared" si="26"/>
        <v>3.6210539132585042</v>
      </c>
      <c r="Q71" s="84">
        <f t="shared" si="27"/>
        <v>3.6210539132585042</v>
      </c>
      <c r="R71" s="15">
        <f t="shared" si="28"/>
        <v>-7.2421078265170085</v>
      </c>
      <c r="S71" s="15">
        <f t="shared" si="29"/>
        <v>-4.8280718843446726</v>
      </c>
      <c r="T71" s="15">
        <f t="shared" si="30"/>
        <v>-2.4140359421723363</v>
      </c>
      <c r="U71" s="16">
        <v>0</v>
      </c>
      <c r="V71" s="15">
        <f t="shared" si="31"/>
        <v>2.4140359421723363</v>
      </c>
      <c r="W71" s="15">
        <f t="shared" si="32"/>
        <v>4.8280718843446726</v>
      </c>
      <c r="X71" s="15">
        <f t="shared" si="33"/>
        <v>7.2421078265170085</v>
      </c>
      <c r="Y71" s="6"/>
      <c r="Z71"/>
      <c r="AA71" s="67"/>
      <c r="AB71" s="68"/>
      <c r="AC71"/>
      <c r="AD71"/>
      <c r="AE71"/>
      <c r="AF71"/>
      <c r="AI71"/>
      <c r="AJ71"/>
    </row>
    <row r="72" spans="1:36" s="18" customFormat="1" ht="16.5" customHeight="1">
      <c r="A72" s="14">
        <f>'b（手動）計算用'!E74</f>
        <v>79</v>
      </c>
      <c r="B72" s="84">
        <f t="shared" si="20"/>
        <v>28.948286508094814</v>
      </c>
      <c r="C72" s="84">
        <f t="shared" si="21"/>
        <v>0</v>
      </c>
      <c r="D72" s="84">
        <f t="shared" si="22"/>
        <v>0</v>
      </c>
      <c r="E72" s="84">
        <f t="shared" si="23"/>
        <v>0</v>
      </c>
      <c r="F72" s="84">
        <f t="shared" si="24"/>
        <v>28.948286508094814</v>
      </c>
      <c r="G72" s="15">
        <f t="shared" si="19"/>
        <v>21.700652659354468</v>
      </c>
      <c r="H72" s="15">
        <f t="shared" si="19"/>
        <v>24.116530608934582</v>
      </c>
      <c r="I72" s="15">
        <f t="shared" si="19"/>
        <v>26.5324085585147</v>
      </c>
      <c r="J72" s="15">
        <f t="shared" si="18"/>
        <v>28.948286508094814</v>
      </c>
      <c r="K72" s="15">
        <f t="shared" si="18"/>
        <v>31.364164457674928</v>
      </c>
      <c r="L72" s="15">
        <f t="shared" si="18"/>
        <v>33.780042407255046</v>
      </c>
      <c r="M72" s="15">
        <f t="shared" si="18"/>
        <v>36.19592035683516</v>
      </c>
      <c r="N72" s="15">
        <f t="shared" si="16"/>
        <v>30.397813277842882</v>
      </c>
      <c r="O72" s="84">
        <f t="shared" si="25"/>
        <v>0</v>
      </c>
      <c r="P72" s="84">
        <f t="shared" si="26"/>
        <v>3.6238169243701734</v>
      </c>
      <c r="Q72" s="84">
        <f t="shared" si="27"/>
        <v>3.6238169243701734</v>
      </c>
      <c r="R72" s="15">
        <f t="shared" si="28"/>
        <v>-7.2476338487403469</v>
      </c>
      <c r="S72" s="15">
        <f t="shared" si="29"/>
        <v>-4.831755899160231</v>
      </c>
      <c r="T72" s="15">
        <f t="shared" si="30"/>
        <v>-2.4158779495801155</v>
      </c>
      <c r="U72" s="16">
        <v>0</v>
      </c>
      <c r="V72" s="15">
        <f t="shared" si="31"/>
        <v>2.4158779495801155</v>
      </c>
      <c r="W72" s="15">
        <f t="shared" si="32"/>
        <v>4.831755899160231</v>
      </c>
      <c r="X72" s="15">
        <f t="shared" si="33"/>
        <v>7.2476338487403469</v>
      </c>
      <c r="Y72" s="6"/>
      <c r="Z72"/>
      <c r="AA72" s="67"/>
      <c r="AB72" s="68"/>
      <c r="AC72"/>
      <c r="AD72"/>
      <c r="AE72"/>
      <c r="AF72"/>
      <c r="AI72"/>
      <c r="AJ72"/>
    </row>
    <row r="73" spans="1:36" s="18" customFormat="1" ht="16.5" customHeight="1">
      <c r="A73" s="14">
        <f>'b（手動）計算用'!E75</f>
        <v>80</v>
      </c>
      <c r="B73" s="84">
        <f t="shared" si="20"/>
        <v>29.06407921907179</v>
      </c>
      <c r="C73" s="84">
        <f t="shared" si="21"/>
        <v>0</v>
      </c>
      <c r="D73" s="84">
        <f t="shared" si="22"/>
        <v>0</v>
      </c>
      <c r="E73" s="84">
        <f t="shared" si="23"/>
        <v>0</v>
      </c>
      <c r="F73" s="84">
        <f t="shared" si="24"/>
        <v>29.06407921907179</v>
      </c>
      <c r="G73" s="15">
        <f t="shared" si="19"/>
        <v>21.811317459779229</v>
      </c>
      <c r="H73" s="15">
        <f t="shared" si="19"/>
        <v>24.228904712876748</v>
      </c>
      <c r="I73" s="15">
        <f t="shared" si="19"/>
        <v>26.64649196597427</v>
      </c>
      <c r="J73" s="15">
        <f t="shared" si="18"/>
        <v>29.06407921907179</v>
      </c>
      <c r="K73" s="15">
        <f t="shared" si="18"/>
        <v>31.481666472169309</v>
      </c>
      <c r="L73" s="15">
        <f t="shared" si="18"/>
        <v>33.899253725266831</v>
      </c>
      <c r="M73" s="15">
        <f t="shared" si="18"/>
        <v>36.316840978364354</v>
      </c>
      <c r="N73" s="15">
        <f t="shared" ref="N73:N113" si="34">J73-(($AA$1-2)*W73)</f>
        <v>30.514631570930302</v>
      </c>
      <c r="O73" s="84">
        <f t="shared" si="25"/>
        <v>0</v>
      </c>
      <c r="P73" s="84">
        <f t="shared" si="26"/>
        <v>3.6263808796462804</v>
      </c>
      <c r="Q73" s="84">
        <f t="shared" si="27"/>
        <v>3.6263808796462804</v>
      </c>
      <c r="R73" s="15">
        <f t="shared" si="28"/>
        <v>-7.2527617592925608</v>
      </c>
      <c r="S73" s="15">
        <f t="shared" si="29"/>
        <v>-4.8351745061950409</v>
      </c>
      <c r="T73" s="15">
        <f t="shared" si="30"/>
        <v>-2.4175872530975204</v>
      </c>
      <c r="U73" s="16">
        <v>0</v>
      </c>
      <c r="V73" s="15">
        <f t="shared" si="31"/>
        <v>2.4175872530975204</v>
      </c>
      <c r="W73" s="15">
        <f t="shared" si="32"/>
        <v>4.8351745061950409</v>
      </c>
      <c r="X73" s="15">
        <f t="shared" si="33"/>
        <v>7.2527617592925608</v>
      </c>
      <c r="Y73" s="6"/>
      <c r="Z73"/>
      <c r="AA73" s="67"/>
      <c r="AB73" s="68"/>
      <c r="AC73"/>
      <c r="AD73"/>
      <c r="AE73"/>
      <c r="AF73"/>
      <c r="AI73"/>
      <c r="AJ73"/>
    </row>
    <row r="74" spans="1:36" s="18" customFormat="1" ht="16.5" customHeight="1">
      <c r="A74" s="14">
        <f>'b（手動）計算用'!E76</f>
        <v>81</v>
      </c>
      <c r="B74" s="84">
        <f t="shared" si="20"/>
        <v>29.176831497034819</v>
      </c>
      <c r="C74" s="84">
        <f t="shared" si="21"/>
        <v>0</v>
      </c>
      <c r="D74" s="84">
        <f t="shared" si="22"/>
        <v>0</v>
      </c>
      <c r="E74" s="84">
        <f t="shared" si="23"/>
        <v>0</v>
      </c>
      <c r="F74" s="84">
        <f t="shared" si="24"/>
        <v>29.176831497034819</v>
      </c>
      <c r="G74" s="15">
        <f t="shared" si="19"/>
        <v>21.919311766527059</v>
      </c>
      <c r="H74" s="15">
        <f t="shared" si="19"/>
        <v>24.338485010029647</v>
      </c>
      <c r="I74" s="15">
        <f t="shared" si="19"/>
        <v>26.757658253532231</v>
      </c>
      <c r="J74" s="15">
        <f t="shared" si="18"/>
        <v>29.176831497034819</v>
      </c>
      <c r="K74" s="15">
        <f t="shared" si="18"/>
        <v>31.596004740537406</v>
      </c>
      <c r="L74" s="15">
        <f t="shared" si="18"/>
        <v>34.015177984039994</v>
      </c>
      <c r="M74" s="15">
        <f t="shared" si="18"/>
        <v>36.434351227542578</v>
      </c>
      <c r="N74" s="15">
        <f t="shared" si="34"/>
        <v>30.628335443136372</v>
      </c>
      <c r="O74" s="84">
        <f t="shared" si="25"/>
        <v>0</v>
      </c>
      <c r="P74" s="84">
        <f t="shared" si="26"/>
        <v>3.6287598652538797</v>
      </c>
      <c r="Q74" s="84">
        <f t="shared" si="27"/>
        <v>3.6287598652538797</v>
      </c>
      <c r="R74" s="15">
        <f t="shared" si="28"/>
        <v>-7.2575197305077594</v>
      </c>
      <c r="S74" s="15">
        <f t="shared" si="29"/>
        <v>-4.8383464870051727</v>
      </c>
      <c r="T74" s="15">
        <f t="shared" si="30"/>
        <v>-2.4191732435025863</v>
      </c>
      <c r="U74" s="16">
        <v>0</v>
      </c>
      <c r="V74" s="15">
        <f t="shared" si="31"/>
        <v>2.4191732435025863</v>
      </c>
      <c r="W74" s="15">
        <f t="shared" si="32"/>
        <v>4.8383464870051727</v>
      </c>
      <c r="X74" s="15">
        <f t="shared" si="33"/>
        <v>7.2575197305077594</v>
      </c>
      <c r="Y74" s="6"/>
      <c r="Z74"/>
      <c r="AA74" s="67"/>
      <c r="AB74" s="68"/>
      <c r="AC74"/>
      <c r="AD74"/>
      <c r="AE74"/>
      <c r="AF74"/>
      <c r="AI74"/>
      <c r="AJ74"/>
    </row>
    <row r="75" spans="1:36" s="18" customFormat="1" ht="16.5" customHeight="1">
      <c r="A75" s="14">
        <f>'b（手動）計算用'!E77</f>
        <v>82</v>
      </c>
      <c r="B75" s="84">
        <f t="shared" si="20"/>
        <v>29.28662205029131</v>
      </c>
      <c r="C75" s="84">
        <f t="shared" si="21"/>
        <v>0</v>
      </c>
      <c r="D75" s="84">
        <f t="shared" si="22"/>
        <v>0</v>
      </c>
      <c r="E75" s="84">
        <f t="shared" si="23"/>
        <v>0</v>
      </c>
      <c r="F75" s="84">
        <f t="shared" si="24"/>
        <v>29.28662205029131</v>
      </c>
      <c r="G75" s="15">
        <f t="shared" si="19"/>
        <v>22.024688037667424</v>
      </c>
      <c r="H75" s="15">
        <f t="shared" si="19"/>
        <v>24.445332708542054</v>
      </c>
      <c r="I75" s="15">
        <f t="shared" si="19"/>
        <v>26.86597737941668</v>
      </c>
      <c r="J75" s="15">
        <f t="shared" si="18"/>
        <v>29.28662205029131</v>
      </c>
      <c r="K75" s="15">
        <f t="shared" si="18"/>
        <v>31.70726672116594</v>
      </c>
      <c r="L75" s="15">
        <f t="shared" si="18"/>
        <v>34.127911392040566</v>
      </c>
      <c r="M75" s="15">
        <f t="shared" si="18"/>
        <v>36.548556062915196</v>
      </c>
      <c r="N75" s="15">
        <f t="shared" si="34"/>
        <v>30.739008852816088</v>
      </c>
      <c r="O75" s="84">
        <f t="shared" si="25"/>
        <v>0</v>
      </c>
      <c r="P75" s="84">
        <f t="shared" si="26"/>
        <v>3.6309670063119426</v>
      </c>
      <c r="Q75" s="84">
        <f t="shared" si="27"/>
        <v>3.6309670063119426</v>
      </c>
      <c r="R75" s="15">
        <f t="shared" si="28"/>
        <v>-7.2619340126238852</v>
      </c>
      <c r="S75" s="15">
        <f t="shared" si="29"/>
        <v>-4.8412893417492571</v>
      </c>
      <c r="T75" s="15">
        <f t="shared" si="30"/>
        <v>-2.4206446708746285</v>
      </c>
      <c r="U75" s="16">
        <v>0</v>
      </c>
      <c r="V75" s="15">
        <f t="shared" si="31"/>
        <v>2.4206446708746285</v>
      </c>
      <c r="W75" s="15">
        <f t="shared" si="32"/>
        <v>4.8412893417492571</v>
      </c>
      <c r="X75" s="15">
        <f t="shared" si="33"/>
        <v>7.2619340126238852</v>
      </c>
      <c r="Y75" s="6"/>
      <c r="Z75"/>
      <c r="AA75" s="67"/>
      <c r="AB75" s="68"/>
      <c r="AC75"/>
      <c r="AD75"/>
      <c r="AE75"/>
      <c r="AF75"/>
      <c r="AI75"/>
      <c r="AJ75"/>
    </row>
    <row r="76" spans="1:36" s="18" customFormat="1" ht="16.5" customHeight="1">
      <c r="A76" s="14">
        <f>'b（手動）計算用'!E78</f>
        <v>83</v>
      </c>
      <c r="B76" s="84">
        <f t="shared" si="20"/>
        <v>29.393527616192177</v>
      </c>
      <c r="C76" s="84">
        <f t="shared" si="21"/>
        <v>0</v>
      </c>
      <c r="D76" s="84">
        <f t="shared" si="22"/>
        <v>0</v>
      </c>
      <c r="E76" s="84">
        <f t="shared" si="23"/>
        <v>0</v>
      </c>
      <c r="F76" s="84">
        <f t="shared" si="24"/>
        <v>29.393527616192177</v>
      </c>
      <c r="G76" s="15">
        <f t="shared" si="19"/>
        <v>22.127498561392027</v>
      </c>
      <c r="H76" s="15">
        <f t="shared" si="19"/>
        <v>24.549508246325409</v>
      </c>
      <c r="I76" s="15">
        <f t="shared" si="19"/>
        <v>26.971517931258795</v>
      </c>
      <c r="J76" s="15">
        <f t="shared" si="18"/>
        <v>29.393527616192177</v>
      </c>
      <c r="K76" s="15">
        <f t="shared" si="18"/>
        <v>31.815537301125559</v>
      </c>
      <c r="L76" s="15">
        <f t="shared" si="18"/>
        <v>34.237546986058945</v>
      </c>
      <c r="M76" s="15">
        <f t="shared" si="18"/>
        <v>36.659556670992323</v>
      </c>
      <c r="N76" s="15">
        <f t="shared" si="34"/>
        <v>30.846733427152206</v>
      </c>
      <c r="O76" s="84">
        <f t="shared" si="25"/>
        <v>0</v>
      </c>
      <c r="P76" s="84">
        <f t="shared" si="26"/>
        <v>3.6330145274000745</v>
      </c>
      <c r="Q76" s="84">
        <f t="shared" si="27"/>
        <v>3.6330145274000745</v>
      </c>
      <c r="R76" s="15">
        <f t="shared" si="28"/>
        <v>-7.2660290548001489</v>
      </c>
      <c r="S76" s="15">
        <f t="shared" si="29"/>
        <v>-4.844019369866766</v>
      </c>
      <c r="T76" s="15">
        <f t="shared" si="30"/>
        <v>-2.422009684933383</v>
      </c>
      <c r="U76" s="16">
        <v>0</v>
      </c>
      <c r="V76" s="15">
        <f t="shared" si="31"/>
        <v>2.422009684933383</v>
      </c>
      <c r="W76" s="15">
        <f t="shared" si="32"/>
        <v>4.844019369866766</v>
      </c>
      <c r="X76" s="15">
        <f t="shared" si="33"/>
        <v>7.2660290548001489</v>
      </c>
      <c r="Y76" s="6"/>
      <c r="Z76"/>
      <c r="AA76" s="67"/>
      <c r="AB76" s="68"/>
      <c r="AC76"/>
      <c r="AD76"/>
      <c r="AE76"/>
      <c r="AF76"/>
      <c r="AI76"/>
      <c r="AJ76"/>
    </row>
    <row r="77" spans="1:36" s="18" customFormat="1" ht="16.5" customHeight="1">
      <c r="A77" s="14">
        <f>'b（手動）計算用'!E79</f>
        <v>84</v>
      </c>
      <c r="B77" s="84">
        <f t="shared" si="20"/>
        <v>29.497623006305542</v>
      </c>
      <c r="C77" s="84">
        <f t="shared" si="21"/>
        <v>0</v>
      </c>
      <c r="D77" s="84">
        <f t="shared" si="22"/>
        <v>0</v>
      </c>
      <c r="E77" s="84">
        <f t="shared" si="23"/>
        <v>0</v>
      </c>
      <c r="F77" s="84">
        <f t="shared" si="24"/>
        <v>29.497623006305542</v>
      </c>
      <c r="G77" s="15">
        <f t="shared" si="19"/>
        <v>22.227795386327969</v>
      </c>
      <c r="H77" s="15">
        <f t="shared" si="19"/>
        <v>24.651071259653826</v>
      </c>
      <c r="I77" s="15">
        <f t="shared" si="19"/>
        <v>27.074347132979682</v>
      </c>
      <c r="J77" s="15">
        <f t="shared" si="18"/>
        <v>29.497623006305542</v>
      </c>
      <c r="K77" s="15">
        <f t="shared" si="18"/>
        <v>31.920898879631402</v>
      </c>
      <c r="L77" s="15">
        <f t="shared" si="18"/>
        <v>34.344174752957258</v>
      </c>
      <c r="M77" s="15">
        <f t="shared" si="18"/>
        <v>36.767450626283114</v>
      </c>
      <c r="N77" s="15">
        <f t="shared" si="34"/>
        <v>30.951588530301056</v>
      </c>
      <c r="O77" s="84">
        <f t="shared" si="25"/>
        <v>0</v>
      </c>
      <c r="P77" s="84">
        <f t="shared" si="26"/>
        <v>3.6349138099887872</v>
      </c>
      <c r="Q77" s="84">
        <f t="shared" si="27"/>
        <v>3.6349138099887872</v>
      </c>
      <c r="R77" s="15">
        <f t="shared" si="28"/>
        <v>-7.2698276199775744</v>
      </c>
      <c r="S77" s="15">
        <f t="shared" si="29"/>
        <v>-4.8465517466517163</v>
      </c>
      <c r="T77" s="15">
        <f t="shared" si="30"/>
        <v>-2.4232758733258581</v>
      </c>
      <c r="U77" s="16">
        <v>0</v>
      </c>
      <c r="V77" s="15">
        <f t="shared" si="31"/>
        <v>2.4232758733258581</v>
      </c>
      <c r="W77" s="15">
        <f t="shared" si="32"/>
        <v>4.8465517466517163</v>
      </c>
      <c r="X77" s="15">
        <f t="shared" si="33"/>
        <v>7.2698276199775744</v>
      </c>
      <c r="Y77" s="6"/>
      <c r="Z77"/>
      <c r="AA77" s="67"/>
      <c r="AB77" s="68"/>
      <c r="AC77"/>
      <c r="AD77"/>
      <c r="AE77"/>
      <c r="AF77"/>
      <c r="AI77"/>
      <c r="AJ77"/>
    </row>
    <row r="78" spans="1:36" s="18" customFormat="1" ht="16.5" customHeight="1">
      <c r="A78" s="14">
        <f>'b（手動）計算用'!E80</f>
        <v>85</v>
      </c>
      <c r="B78" s="84">
        <f t="shared" si="20"/>
        <v>29.598981150842931</v>
      </c>
      <c r="C78" s="84">
        <f t="shared" si="21"/>
        <v>0</v>
      </c>
      <c r="D78" s="84">
        <f t="shared" si="22"/>
        <v>0</v>
      </c>
      <c r="E78" s="84">
        <f t="shared" si="23"/>
        <v>0</v>
      </c>
      <c r="F78" s="84">
        <f t="shared" si="24"/>
        <v>29.598981150842931</v>
      </c>
      <c r="G78" s="15">
        <f t="shared" si="19"/>
        <v>22.325630257171397</v>
      </c>
      <c r="H78" s="15">
        <f t="shared" si="19"/>
        <v>24.75008055506191</v>
      </c>
      <c r="I78" s="15">
        <f t="shared" si="19"/>
        <v>27.174530852952419</v>
      </c>
      <c r="J78" s="15">
        <f t="shared" si="18"/>
        <v>29.598981150842931</v>
      </c>
      <c r="K78" s="15">
        <f t="shared" si="18"/>
        <v>32.02343144873344</v>
      </c>
      <c r="L78" s="15">
        <f t="shared" si="18"/>
        <v>34.447881746623956</v>
      </c>
      <c r="M78" s="15">
        <f t="shared" si="18"/>
        <v>36.872332044514465</v>
      </c>
      <c r="N78" s="15">
        <f t="shared" si="34"/>
        <v>31.053651329577239</v>
      </c>
      <c r="O78" s="84">
        <f t="shared" si="25"/>
        <v>0</v>
      </c>
      <c r="P78" s="84">
        <f t="shared" si="26"/>
        <v>3.6366754468357669</v>
      </c>
      <c r="Q78" s="84">
        <f t="shared" si="27"/>
        <v>3.6366754468357669</v>
      </c>
      <c r="R78" s="15">
        <f t="shared" si="28"/>
        <v>-7.2733508936715339</v>
      </c>
      <c r="S78" s="15">
        <f t="shared" si="29"/>
        <v>-4.8489005957810223</v>
      </c>
      <c r="T78" s="15">
        <f t="shared" si="30"/>
        <v>-2.4244502978905111</v>
      </c>
      <c r="U78" s="16">
        <v>0</v>
      </c>
      <c r="V78" s="15">
        <f t="shared" si="31"/>
        <v>2.4244502978905111</v>
      </c>
      <c r="W78" s="15">
        <f t="shared" si="32"/>
        <v>4.8489005957810223</v>
      </c>
      <c r="X78" s="15">
        <f t="shared" si="33"/>
        <v>7.2733508936715339</v>
      </c>
      <c r="Y78" s="6"/>
      <c r="Z78"/>
      <c r="AA78" s="67"/>
      <c r="AB78" s="68"/>
      <c r="AC78"/>
      <c r="AD78"/>
      <c r="AE78"/>
      <c r="AF78"/>
      <c r="AI78"/>
      <c r="AJ78"/>
    </row>
    <row r="79" spans="1:36" s="18" customFormat="1" ht="16.5" customHeight="1">
      <c r="A79" s="14">
        <f>'b（手動）計算用'!E81</f>
        <v>86</v>
      </c>
      <c r="B79" s="84">
        <f t="shared" si="20"/>
        <v>29.697673142327094</v>
      </c>
      <c r="C79" s="84">
        <f t="shared" si="21"/>
        <v>0</v>
      </c>
      <c r="D79" s="84">
        <f t="shared" si="22"/>
        <v>0</v>
      </c>
      <c r="E79" s="84">
        <f t="shared" si="23"/>
        <v>0</v>
      </c>
      <c r="F79" s="84">
        <f t="shared" si="24"/>
        <v>29.697673142327094</v>
      </c>
      <c r="G79" s="15">
        <f t="shared" si="19"/>
        <v>22.421054555501613</v>
      </c>
      <c r="H79" s="15">
        <f t="shared" si="19"/>
        <v>24.846594084443439</v>
      </c>
      <c r="I79" s="15">
        <f t="shared" si="19"/>
        <v>27.272133613385265</v>
      </c>
      <c r="J79" s="15">
        <f t="shared" si="18"/>
        <v>29.697673142327094</v>
      </c>
      <c r="K79" s="15">
        <f t="shared" si="18"/>
        <v>32.123212671268924</v>
      </c>
      <c r="L79" s="15">
        <f t="shared" si="18"/>
        <v>34.54875220021075</v>
      </c>
      <c r="M79" s="15">
        <f t="shared" si="18"/>
        <v>36.974291729152576</v>
      </c>
      <c r="N79" s="15">
        <f t="shared" si="34"/>
        <v>31.152996859692191</v>
      </c>
      <c r="O79" s="84">
        <f t="shared" si="25"/>
        <v>0</v>
      </c>
      <c r="P79" s="84">
        <f t="shared" si="26"/>
        <v>3.6383092934127417</v>
      </c>
      <c r="Q79" s="84">
        <f t="shared" si="27"/>
        <v>3.6383092934127417</v>
      </c>
      <c r="R79" s="15">
        <f t="shared" si="28"/>
        <v>-7.2766185868254833</v>
      </c>
      <c r="S79" s="15">
        <f t="shared" si="29"/>
        <v>-4.8510790578836556</v>
      </c>
      <c r="T79" s="15">
        <f t="shared" si="30"/>
        <v>-2.4255395289418278</v>
      </c>
      <c r="U79" s="16">
        <v>0</v>
      </c>
      <c r="V79" s="15">
        <f t="shared" si="31"/>
        <v>2.4255395289418278</v>
      </c>
      <c r="W79" s="15">
        <f t="shared" si="32"/>
        <v>4.8510790578836556</v>
      </c>
      <c r="X79" s="15">
        <f t="shared" si="33"/>
        <v>7.2766185868254833</v>
      </c>
      <c r="Y79" s="6"/>
      <c r="Z79"/>
      <c r="AA79" s="67"/>
      <c r="AB79" s="68"/>
      <c r="AC79"/>
      <c r="AD79"/>
      <c r="AE79"/>
      <c r="AF79"/>
      <c r="AI79"/>
      <c r="AJ79"/>
    </row>
    <row r="80" spans="1:36" s="18" customFormat="1" ht="16.5" customHeight="1">
      <c r="A80" s="14">
        <f>'b（手動）計算用'!E82</f>
        <v>87</v>
      </c>
      <c r="B80" s="84">
        <f t="shared" si="20"/>
        <v>29.793768278493449</v>
      </c>
      <c r="C80" s="84">
        <f t="shared" si="21"/>
        <v>0</v>
      </c>
      <c r="D80" s="84">
        <f t="shared" si="22"/>
        <v>0</v>
      </c>
      <c r="E80" s="84">
        <f t="shared" si="23"/>
        <v>0</v>
      </c>
      <c r="F80" s="84">
        <f t="shared" si="24"/>
        <v>29.793768278493449</v>
      </c>
      <c r="G80" s="15">
        <f t="shared" si="19"/>
        <v>22.514119245606633</v>
      </c>
      <c r="H80" s="15">
        <f t="shared" si="19"/>
        <v>24.94066892323557</v>
      </c>
      <c r="I80" s="15">
        <f t="shared" si="19"/>
        <v>27.367218600864511</v>
      </c>
      <c r="J80" s="15">
        <f t="shared" si="18"/>
        <v>29.793768278493449</v>
      </c>
      <c r="K80" s="15">
        <f t="shared" si="18"/>
        <v>32.220317956122386</v>
      </c>
      <c r="L80" s="15">
        <f t="shared" si="18"/>
        <v>34.646867633751327</v>
      </c>
      <c r="M80" s="15">
        <f t="shared" si="18"/>
        <v>37.073417311380268</v>
      </c>
      <c r="N80" s="15">
        <f t="shared" si="34"/>
        <v>31.249698085070811</v>
      </c>
      <c r="O80" s="84">
        <f t="shared" si="25"/>
        <v>0</v>
      </c>
      <c r="P80" s="84">
        <f t="shared" si="26"/>
        <v>3.6398245164434084</v>
      </c>
      <c r="Q80" s="84">
        <f t="shared" si="27"/>
        <v>3.6398245164434084</v>
      </c>
      <c r="R80" s="15">
        <f t="shared" si="28"/>
        <v>-7.2796490328868169</v>
      </c>
      <c r="S80" s="15">
        <f t="shared" si="29"/>
        <v>-4.8530993552578776</v>
      </c>
      <c r="T80" s="15">
        <f t="shared" si="30"/>
        <v>-2.4265496776289388</v>
      </c>
      <c r="U80" s="16">
        <v>0</v>
      </c>
      <c r="V80" s="15">
        <f t="shared" si="31"/>
        <v>2.4265496776289388</v>
      </c>
      <c r="W80" s="15">
        <f t="shared" si="32"/>
        <v>4.8530993552578776</v>
      </c>
      <c r="X80" s="15">
        <f t="shared" si="33"/>
        <v>7.2796490328868169</v>
      </c>
      <c r="Y80" s="6"/>
      <c r="Z80"/>
      <c r="AA80" s="67"/>
      <c r="AB80" s="68"/>
      <c r="AC80"/>
      <c r="AD80"/>
      <c r="AE80"/>
      <c r="AF80"/>
      <c r="AI80"/>
      <c r="AJ80"/>
    </row>
    <row r="81" spans="1:36" s="18" customFormat="1" ht="16.5" customHeight="1">
      <c r="A81" s="14">
        <f>'b（手動）計算用'!E83</f>
        <v>88</v>
      </c>
      <c r="B81" s="84">
        <f t="shared" si="20"/>
        <v>29.88733410441915</v>
      </c>
      <c r="C81" s="84">
        <f t="shared" si="21"/>
        <v>0</v>
      </c>
      <c r="D81" s="84">
        <f t="shared" si="22"/>
        <v>0</v>
      </c>
      <c r="E81" s="84">
        <f t="shared" si="23"/>
        <v>0</v>
      </c>
      <c r="F81" s="84">
        <f t="shared" si="24"/>
        <v>29.88733410441915</v>
      </c>
      <c r="G81" s="15">
        <f t="shared" si="19"/>
        <v>22.604874825129261</v>
      </c>
      <c r="H81" s="15">
        <f t="shared" si="19"/>
        <v>25.032361251559223</v>
      </c>
      <c r="I81" s="15">
        <f t="shared" si="19"/>
        <v>27.459847677989188</v>
      </c>
      <c r="J81" s="15">
        <f t="shared" si="18"/>
        <v>29.88733410441915</v>
      </c>
      <c r="K81" s="15">
        <f t="shared" si="18"/>
        <v>32.314820530849111</v>
      </c>
      <c r="L81" s="15">
        <f t="shared" si="18"/>
        <v>34.742306957279077</v>
      </c>
      <c r="M81" s="15">
        <f t="shared" si="18"/>
        <v>37.169793383709035</v>
      </c>
      <c r="N81" s="15">
        <f t="shared" si="34"/>
        <v>31.34382596027713</v>
      </c>
      <c r="O81" s="84">
        <f t="shared" si="25"/>
        <v>0</v>
      </c>
      <c r="P81" s="84">
        <f t="shared" si="26"/>
        <v>3.6412296396449442</v>
      </c>
      <c r="Q81" s="84">
        <f t="shared" si="27"/>
        <v>3.6412296396449442</v>
      </c>
      <c r="R81" s="15">
        <f t="shared" si="28"/>
        <v>-7.2824592792898883</v>
      </c>
      <c r="S81" s="15">
        <f t="shared" si="29"/>
        <v>-4.8549728528599259</v>
      </c>
      <c r="T81" s="15">
        <f t="shared" si="30"/>
        <v>-2.4274864264299629</v>
      </c>
      <c r="U81" s="16">
        <v>0</v>
      </c>
      <c r="V81" s="15">
        <f t="shared" si="31"/>
        <v>2.4274864264299629</v>
      </c>
      <c r="W81" s="15">
        <f t="shared" si="32"/>
        <v>4.8549728528599259</v>
      </c>
      <c r="X81" s="15">
        <f t="shared" si="33"/>
        <v>7.2824592792898883</v>
      </c>
      <c r="Y81" s="6"/>
      <c r="Z81"/>
      <c r="AA81" s="67"/>
      <c r="AB81" s="68"/>
      <c r="AC81"/>
      <c r="AD81"/>
      <c r="AE81"/>
      <c r="AF81"/>
      <c r="AI81"/>
      <c r="AJ81"/>
    </row>
    <row r="82" spans="1:36" s="18" customFormat="1" ht="16.5" customHeight="1">
      <c r="A82" s="14">
        <f>'b（手動）計算用'!E84</f>
        <v>89</v>
      </c>
      <c r="B82" s="84">
        <f t="shared" si="20"/>
        <v>29.978436453876011</v>
      </c>
      <c r="C82" s="84">
        <f t="shared" si="21"/>
        <v>0</v>
      </c>
      <c r="D82" s="84">
        <f t="shared" si="22"/>
        <v>0</v>
      </c>
      <c r="E82" s="84">
        <f t="shared" si="23"/>
        <v>0</v>
      </c>
      <c r="F82" s="84">
        <f t="shared" si="24"/>
        <v>29.978436453876011</v>
      </c>
      <c r="G82" s="15">
        <f t="shared" si="19"/>
        <v>22.693371280326804</v>
      </c>
      <c r="H82" s="15">
        <f t="shared" si="19"/>
        <v>25.12172633817654</v>
      </c>
      <c r="I82" s="15">
        <f t="shared" si="19"/>
        <v>27.550081396026275</v>
      </c>
      <c r="J82" s="15">
        <f t="shared" si="18"/>
        <v>29.978436453876011</v>
      </c>
      <c r="K82" s="15">
        <f t="shared" si="18"/>
        <v>32.406791511725743</v>
      </c>
      <c r="L82" s="15">
        <f t="shared" si="18"/>
        <v>34.835146569575478</v>
      </c>
      <c r="M82" s="15">
        <f t="shared" si="18"/>
        <v>37.263501627425214</v>
      </c>
      <c r="N82" s="15">
        <f t="shared" si="34"/>
        <v>31.435449488585853</v>
      </c>
      <c r="O82" s="84">
        <f t="shared" si="25"/>
        <v>0</v>
      </c>
      <c r="P82" s="84">
        <f t="shared" si="26"/>
        <v>3.6425325867746028</v>
      </c>
      <c r="Q82" s="84">
        <f t="shared" si="27"/>
        <v>3.6425325867746028</v>
      </c>
      <c r="R82" s="15">
        <f t="shared" si="28"/>
        <v>-7.2850651735492056</v>
      </c>
      <c r="S82" s="15">
        <f t="shared" si="29"/>
        <v>-4.8567101156994701</v>
      </c>
      <c r="T82" s="15">
        <f t="shared" si="30"/>
        <v>-2.428355057849735</v>
      </c>
      <c r="U82" s="16">
        <v>0</v>
      </c>
      <c r="V82" s="15">
        <f t="shared" si="31"/>
        <v>2.428355057849735</v>
      </c>
      <c r="W82" s="15">
        <f t="shared" si="32"/>
        <v>4.8567101156994701</v>
      </c>
      <c r="X82" s="15">
        <f t="shared" si="33"/>
        <v>7.2850651735492056</v>
      </c>
      <c r="Y82" s="6"/>
      <c r="Z82"/>
      <c r="AA82" s="67"/>
      <c r="AB82" s="68"/>
      <c r="AC82"/>
      <c r="AD82"/>
      <c r="AE82"/>
      <c r="AF82"/>
      <c r="AI82"/>
      <c r="AJ82"/>
    </row>
    <row r="83" spans="1:36" s="18" customFormat="1" ht="16.5" customHeight="1">
      <c r="A83" s="14">
        <f>'b（手動）計算用'!E85</f>
        <v>90</v>
      </c>
      <c r="B83" s="84">
        <f t="shared" si="20"/>
        <v>30.067139489905312</v>
      </c>
      <c r="C83" s="84">
        <f t="shared" si="21"/>
        <v>0</v>
      </c>
      <c r="D83" s="84">
        <f t="shared" si="22"/>
        <v>0</v>
      </c>
      <c r="E83" s="84">
        <f t="shared" si="23"/>
        <v>0</v>
      </c>
      <c r="F83" s="84">
        <f t="shared" si="24"/>
        <v>30.067139489905312</v>
      </c>
      <c r="G83" s="15">
        <f t="shared" si="19"/>
        <v>22.779658045726922</v>
      </c>
      <c r="H83" s="15">
        <f t="shared" si="19"/>
        <v>25.208818527119718</v>
      </c>
      <c r="I83" s="15">
        <f t="shared" si="19"/>
        <v>27.637979008512517</v>
      </c>
      <c r="J83" s="15">
        <f t="shared" si="18"/>
        <v>30.067139489905312</v>
      </c>
      <c r="K83" s="15">
        <f t="shared" si="18"/>
        <v>32.496299971298107</v>
      </c>
      <c r="L83" s="15">
        <f t="shared" si="18"/>
        <v>34.925460452690906</v>
      </c>
      <c r="M83" s="15">
        <f t="shared" si="18"/>
        <v>37.354620934083698</v>
      </c>
      <c r="N83" s="15">
        <f t="shared" si="34"/>
        <v>31.52463577874099</v>
      </c>
      <c r="O83" s="84">
        <f t="shared" si="25"/>
        <v>0</v>
      </c>
      <c r="P83" s="84">
        <f t="shared" si="26"/>
        <v>3.6437407220891949</v>
      </c>
      <c r="Q83" s="84">
        <f t="shared" si="27"/>
        <v>3.6437407220891949</v>
      </c>
      <c r="R83" s="15">
        <f t="shared" si="28"/>
        <v>-7.2874814441783897</v>
      </c>
      <c r="S83" s="15">
        <f t="shared" si="29"/>
        <v>-4.8583209627855934</v>
      </c>
      <c r="T83" s="15">
        <f t="shared" si="30"/>
        <v>-2.4291604813927967</v>
      </c>
      <c r="U83" s="16">
        <v>0</v>
      </c>
      <c r="V83" s="15">
        <f t="shared" si="31"/>
        <v>2.4291604813927967</v>
      </c>
      <c r="W83" s="15">
        <f t="shared" si="32"/>
        <v>4.8583209627855934</v>
      </c>
      <c r="X83" s="15">
        <f t="shared" si="33"/>
        <v>7.2874814441783897</v>
      </c>
      <c r="Y83" s="6"/>
      <c r="Z83"/>
      <c r="AA83" s="67"/>
      <c r="AB83" s="68"/>
      <c r="AC83"/>
      <c r="AD83"/>
      <c r="AE83"/>
      <c r="AF83"/>
      <c r="AI83"/>
      <c r="AJ83"/>
    </row>
    <row r="84" spans="1:36">
      <c r="A84" s="14">
        <f>'b（手動）計算用'!E86</f>
        <v>91</v>
      </c>
      <c r="B84" s="84">
        <f t="shared" si="20"/>
        <v>30.153505744614197</v>
      </c>
      <c r="C84" s="84">
        <f t="shared" si="21"/>
        <v>0</v>
      </c>
      <c r="D84" s="84">
        <f t="shared" si="22"/>
        <v>0</v>
      </c>
      <c r="E84" s="84">
        <f t="shared" si="23"/>
        <v>0</v>
      </c>
      <c r="F84" s="84">
        <f t="shared" si="24"/>
        <v>30.153505744614197</v>
      </c>
      <c r="G84" s="15">
        <f t="shared" si="19"/>
        <v>22.863783967955541</v>
      </c>
      <c r="H84" s="15">
        <f t="shared" si="19"/>
        <v>25.293691226841759</v>
      </c>
      <c r="I84" s="15">
        <f t="shared" si="19"/>
        <v>27.72359848572798</v>
      </c>
      <c r="J84" s="15">
        <f t="shared" si="18"/>
        <v>30.153505744614197</v>
      </c>
      <c r="K84" s="15">
        <f t="shared" si="18"/>
        <v>32.583413003500418</v>
      </c>
      <c r="L84" s="15">
        <f t="shared" si="18"/>
        <v>35.013320262386635</v>
      </c>
      <c r="M84" s="15">
        <f t="shared" si="18"/>
        <v>37.443227521272853</v>
      </c>
      <c r="N84" s="15">
        <f t="shared" si="34"/>
        <v>31.611450099945927</v>
      </c>
      <c r="O84" s="84">
        <f t="shared" si="25"/>
        <v>0</v>
      </c>
      <c r="P84" s="84">
        <f t="shared" si="26"/>
        <v>3.6448608883293274</v>
      </c>
      <c r="Q84" s="84">
        <f t="shared" si="27"/>
        <v>3.6448608883293274</v>
      </c>
      <c r="R84" s="15">
        <f t="shared" si="28"/>
        <v>-7.2897217766586548</v>
      </c>
      <c r="S84" s="15">
        <f t="shared" si="29"/>
        <v>-4.8598145177724366</v>
      </c>
      <c r="T84" s="15">
        <f t="shared" si="30"/>
        <v>-2.4299072588862183</v>
      </c>
      <c r="U84" s="16">
        <v>0</v>
      </c>
      <c r="V84" s="15">
        <f t="shared" si="31"/>
        <v>2.4299072588862183</v>
      </c>
      <c r="W84" s="15">
        <f t="shared" si="32"/>
        <v>4.8598145177724366</v>
      </c>
      <c r="X84" s="15">
        <f t="shared" si="33"/>
        <v>7.2897217766586548</v>
      </c>
    </row>
    <row r="85" spans="1:36">
      <c r="A85" s="14">
        <f>'b（手動）計算用'!E87</f>
        <v>92</v>
      </c>
      <c r="B85" s="84">
        <f t="shared" si="20"/>
        <v>30.237596158194844</v>
      </c>
      <c r="C85" s="84">
        <f t="shared" si="21"/>
        <v>0</v>
      </c>
      <c r="D85" s="84">
        <f t="shared" si="22"/>
        <v>0</v>
      </c>
      <c r="E85" s="84">
        <f t="shared" si="23"/>
        <v>0</v>
      </c>
      <c r="F85" s="84">
        <f t="shared" si="24"/>
        <v>30.237596158194844</v>
      </c>
      <c r="G85" s="15">
        <f t="shared" si="19"/>
        <v>22.945797273509864</v>
      </c>
      <c r="H85" s="15">
        <f t="shared" si="19"/>
        <v>25.37639690173819</v>
      </c>
      <c r="I85" s="15">
        <f t="shared" si="19"/>
        <v>27.806996529966518</v>
      </c>
      <c r="J85" s="15">
        <f t="shared" si="18"/>
        <v>30.237596158194844</v>
      </c>
      <c r="K85" s="15">
        <f t="shared" si="18"/>
        <v>32.668195786423169</v>
      </c>
      <c r="L85" s="15">
        <f t="shared" si="18"/>
        <v>35.098795414651498</v>
      </c>
      <c r="M85" s="15">
        <f t="shared" si="18"/>
        <v>37.52939504287982</v>
      </c>
      <c r="N85" s="15">
        <f t="shared" si="34"/>
        <v>31.695955935131838</v>
      </c>
      <c r="O85" s="84">
        <f t="shared" si="25"/>
        <v>0</v>
      </c>
      <c r="P85" s="84">
        <f t="shared" si="26"/>
        <v>3.6458994423424893</v>
      </c>
      <c r="Q85" s="84">
        <f t="shared" si="27"/>
        <v>3.6458994423424893</v>
      </c>
      <c r="R85" s="15">
        <f t="shared" si="28"/>
        <v>-7.2917988846849786</v>
      </c>
      <c r="S85" s="15">
        <f t="shared" si="29"/>
        <v>-4.8611992564566524</v>
      </c>
      <c r="T85" s="15">
        <f t="shared" si="30"/>
        <v>-2.4305996282283262</v>
      </c>
      <c r="U85" s="16">
        <v>0</v>
      </c>
      <c r="V85" s="15">
        <f t="shared" si="31"/>
        <v>2.4305996282283262</v>
      </c>
      <c r="W85" s="15">
        <f t="shared" si="32"/>
        <v>4.8611992564566524</v>
      </c>
      <c r="X85" s="15">
        <f t="shared" si="33"/>
        <v>7.2917988846849786</v>
      </c>
      <c r="Z85" s="76"/>
    </row>
    <row r="86" spans="1:36">
      <c r="A86" s="14">
        <f>'b（手動）計算用'!E88</f>
        <v>93</v>
      </c>
      <c r="B86" s="84">
        <f t="shared" si="20"/>
        <v>30.31947011716894</v>
      </c>
      <c r="C86" s="84">
        <f t="shared" si="21"/>
        <v>0</v>
      </c>
      <c r="D86" s="84">
        <f t="shared" si="22"/>
        <v>0</v>
      </c>
      <c r="E86" s="84">
        <f t="shared" si="23"/>
        <v>0</v>
      </c>
      <c r="F86" s="84">
        <f t="shared" si="24"/>
        <v>30.31947011716894</v>
      </c>
      <c r="G86" s="15">
        <f t="shared" si="19"/>
        <v>23.025745540249311</v>
      </c>
      <c r="H86" s="15">
        <f t="shared" si="19"/>
        <v>25.456987065889187</v>
      </c>
      <c r="I86" s="15">
        <f t="shared" si="19"/>
        <v>27.888228591529064</v>
      </c>
      <c r="J86" s="15">
        <f t="shared" si="18"/>
        <v>30.31947011716894</v>
      </c>
      <c r="K86" s="15">
        <f t="shared" si="18"/>
        <v>32.750711642808817</v>
      </c>
      <c r="L86" s="15">
        <f t="shared" si="18"/>
        <v>35.181953168448693</v>
      </c>
      <c r="M86" s="15">
        <f t="shared" si="18"/>
        <v>37.61319469408857</v>
      </c>
      <c r="N86" s="15">
        <f t="shared" si="34"/>
        <v>31.778215032552865</v>
      </c>
      <c r="O86" s="84">
        <f t="shared" si="25"/>
        <v>0</v>
      </c>
      <c r="P86" s="84">
        <f t="shared" si="26"/>
        <v>3.6468622884598143</v>
      </c>
      <c r="Q86" s="84">
        <f t="shared" si="27"/>
        <v>3.6468622884598143</v>
      </c>
      <c r="R86" s="15">
        <f t="shared" si="28"/>
        <v>-7.2937245769196286</v>
      </c>
      <c r="S86" s="15">
        <f t="shared" si="29"/>
        <v>-4.8624830512797521</v>
      </c>
      <c r="T86" s="15">
        <f t="shared" si="30"/>
        <v>-2.4312415256398761</v>
      </c>
      <c r="U86" s="16">
        <v>0</v>
      </c>
      <c r="V86" s="15">
        <f t="shared" si="31"/>
        <v>2.4312415256398761</v>
      </c>
      <c r="W86" s="15">
        <f t="shared" si="32"/>
        <v>4.8624830512797521</v>
      </c>
      <c r="X86" s="15">
        <f t="shared" si="33"/>
        <v>7.2937245769196286</v>
      </c>
    </row>
    <row r="87" spans="1:36">
      <c r="A87" s="14">
        <f>'b（手動）計算用'!E89</f>
        <v>94</v>
      </c>
      <c r="B87" s="84">
        <f t="shared" si="20"/>
        <v>30.399185491861182</v>
      </c>
      <c r="C87" s="84">
        <f t="shared" si="21"/>
        <v>0</v>
      </c>
      <c r="D87" s="84">
        <f t="shared" si="22"/>
        <v>0</v>
      </c>
      <c r="E87" s="84">
        <f t="shared" si="23"/>
        <v>0</v>
      </c>
      <c r="F87" s="84">
        <f t="shared" si="24"/>
        <v>30.399185491861182</v>
      </c>
      <c r="G87" s="15">
        <f t="shared" si="19"/>
        <v>23.10367567237963</v>
      </c>
      <c r="H87" s="15">
        <f t="shared" si="19"/>
        <v>25.535512278873483</v>
      </c>
      <c r="I87" s="15">
        <f t="shared" si="19"/>
        <v>27.967348885367333</v>
      </c>
      <c r="J87" s="15">
        <f t="shared" si="18"/>
        <v>30.399185491861182</v>
      </c>
      <c r="K87" s="15">
        <f t="shared" si="18"/>
        <v>32.831022098355035</v>
      </c>
      <c r="L87" s="15">
        <f t="shared" si="18"/>
        <v>35.262858704848881</v>
      </c>
      <c r="M87" s="15">
        <f t="shared" si="18"/>
        <v>37.694695311342734</v>
      </c>
      <c r="N87" s="15">
        <f t="shared" si="34"/>
        <v>31.858287455757491</v>
      </c>
      <c r="O87" s="84">
        <f t="shared" si="25"/>
        <v>0</v>
      </c>
      <c r="P87" s="84">
        <f t="shared" si="26"/>
        <v>3.6477549097407751</v>
      </c>
      <c r="Q87" s="84">
        <f t="shared" si="27"/>
        <v>3.6477549097407751</v>
      </c>
      <c r="R87" s="15">
        <f t="shared" si="28"/>
        <v>-7.2955098194815502</v>
      </c>
      <c r="S87" s="15">
        <f t="shared" si="29"/>
        <v>-4.8636732129876998</v>
      </c>
      <c r="T87" s="15">
        <f t="shared" si="30"/>
        <v>-2.4318366064938499</v>
      </c>
      <c r="U87" s="16">
        <v>0</v>
      </c>
      <c r="V87" s="15">
        <f t="shared" si="31"/>
        <v>2.4318366064938499</v>
      </c>
      <c r="W87" s="15">
        <f t="shared" si="32"/>
        <v>4.8636732129876998</v>
      </c>
      <c r="X87" s="15">
        <f t="shared" si="33"/>
        <v>7.2955098194815502</v>
      </c>
    </row>
    <row r="88" spans="1:36">
      <c r="A88" s="14">
        <f>'b（手動）計算用'!E90</f>
        <v>95</v>
      </c>
      <c r="B88" s="84">
        <f t="shared" si="20"/>
        <v>30.476798673106668</v>
      </c>
      <c r="C88" s="84">
        <f t="shared" si="21"/>
        <v>0</v>
      </c>
      <c r="D88" s="84">
        <f t="shared" si="22"/>
        <v>0</v>
      </c>
      <c r="E88" s="84">
        <f t="shared" si="23"/>
        <v>0</v>
      </c>
      <c r="F88" s="84">
        <f t="shared" si="24"/>
        <v>30.476798673106668</v>
      </c>
      <c r="G88" s="15">
        <f t="shared" si="19"/>
        <v>23.179633878709534</v>
      </c>
      <c r="H88" s="15">
        <f t="shared" si="19"/>
        <v>25.612022143508579</v>
      </c>
      <c r="I88" s="15">
        <f t="shared" si="19"/>
        <v>28.044410408307623</v>
      </c>
      <c r="J88" s="15">
        <f t="shared" si="18"/>
        <v>30.476798673106668</v>
      </c>
      <c r="K88" s="15">
        <f t="shared" si="18"/>
        <v>32.909186937905716</v>
      </c>
      <c r="L88" s="15">
        <f t="shared" si="18"/>
        <v>35.34157520270476</v>
      </c>
      <c r="M88" s="15">
        <f t="shared" si="18"/>
        <v>37.773963467503805</v>
      </c>
      <c r="N88" s="15">
        <f t="shared" si="34"/>
        <v>31.936231631986093</v>
      </c>
      <c r="O88" s="84">
        <f t="shared" si="25"/>
        <v>0</v>
      </c>
      <c r="P88" s="84">
        <f t="shared" si="26"/>
        <v>3.6485823971985667</v>
      </c>
      <c r="Q88" s="84">
        <f t="shared" si="27"/>
        <v>3.6485823971985667</v>
      </c>
      <c r="R88" s="15">
        <f t="shared" si="28"/>
        <v>-7.2971647943971334</v>
      </c>
      <c r="S88" s="15">
        <f t="shared" si="29"/>
        <v>-4.8647765295980889</v>
      </c>
      <c r="T88" s="15">
        <f t="shared" si="30"/>
        <v>-2.4323882647990445</v>
      </c>
      <c r="U88" s="16">
        <v>0</v>
      </c>
      <c r="V88" s="15">
        <f t="shared" si="31"/>
        <v>2.4323882647990445</v>
      </c>
      <c r="W88" s="15">
        <f t="shared" si="32"/>
        <v>4.8647765295980889</v>
      </c>
      <c r="X88" s="15">
        <f t="shared" si="33"/>
        <v>7.2971647943971334</v>
      </c>
    </row>
    <row r="89" spans="1:36">
      <c r="A89" s="14">
        <f>'b（手動）計算用'!E91</f>
        <v>96</v>
      </c>
      <c r="B89" s="84">
        <f t="shared" si="20"/>
        <v>30.552364608197799</v>
      </c>
      <c r="C89" s="84">
        <f t="shared" si="21"/>
        <v>0</v>
      </c>
      <c r="D89" s="84">
        <f t="shared" si="22"/>
        <v>0</v>
      </c>
      <c r="E89" s="84">
        <f t="shared" si="23"/>
        <v>0</v>
      </c>
      <c r="F89" s="84">
        <f t="shared" si="24"/>
        <v>30.552364608197799</v>
      </c>
      <c r="G89" s="15">
        <f t="shared" si="19"/>
        <v>23.253665653964635</v>
      </c>
      <c r="H89" s="15">
        <f t="shared" si="19"/>
        <v>25.686565305375691</v>
      </c>
      <c r="I89" s="15">
        <f t="shared" si="19"/>
        <v>28.119464956786743</v>
      </c>
      <c r="J89" s="15">
        <f t="shared" si="18"/>
        <v>30.552364608197799</v>
      </c>
      <c r="K89" s="15">
        <f t="shared" si="18"/>
        <v>32.985264259608854</v>
      </c>
      <c r="L89" s="15">
        <f t="shared" si="18"/>
        <v>35.41816391101991</v>
      </c>
      <c r="M89" s="15">
        <f t="shared" si="18"/>
        <v>37.851063562430959</v>
      </c>
      <c r="N89" s="15">
        <f t="shared" si="34"/>
        <v>32.012104399044432</v>
      </c>
      <c r="O89" s="84">
        <f t="shared" si="25"/>
        <v>0</v>
      </c>
      <c r="P89" s="84">
        <f t="shared" si="26"/>
        <v>3.6493494771165813</v>
      </c>
      <c r="Q89" s="84">
        <f t="shared" si="27"/>
        <v>3.6493494771165813</v>
      </c>
      <c r="R89" s="15">
        <f t="shared" si="28"/>
        <v>-7.2986989542331626</v>
      </c>
      <c r="S89" s="15">
        <f t="shared" si="29"/>
        <v>-4.8657993028221087</v>
      </c>
      <c r="T89" s="15">
        <f t="shared" si="30"/>
        <v>-2.4328996514110544</v>
      </c>
      <c r="U89" s="16">
        <v>0</v>
      </c>
      <c r="V89" s="15">
        <f t="shared" si="31"/>
        <v>2.4328996514110544</v>
      </c>
      <c r="W89" s="15">
        <f t="shared" si="32"/>
        <v>4.8657993028221087</v>
      </c>
      <c r="X89" s="15">
        <f t="shared" si="33"/>
        <v>7.2986989542331626</v>
      </c>
    </row>
    <row r="90" spans="1:36">
      <c r="A90" s="14">
        <f>'b（手動）計算用'!E92</f>
        <v>97</v>
      </c>
      <c r="B90" s="84">
        <f t="shared" si="20"/>
        <v>30.62593683607744</v>
      </c>
      <c r="C90" s="84">
        <f t="shared" si="21"/>
        <v>0</v>
      </c>
      <c r="D90" s="84">
        <f t="shared" si="22"/>
        <v>0</v>
      </c>
      <c r="E90" s="84">
        <f t="shared" si="23"/>
        <v>0</v>
      </c>
      <c r="F90" s="84">
        <f t="shared" si="24"/>
        <v>30.62593683607744</v>
      </c>
      <c r="G90" s="15">
        <f t="shared" si="19"/>
        <v>23.325815762950555</v>
      </c>
      <c r="H90" s="15">
        <f t="shared" si="19"/>
        <v>25.75918945399285</v>
      </c>
      <c r="I90" s="15">
        <f t="shared" si="19"/>
        <v>28.192563145035145</v>
      </c>
      <c r="J90" s="15">
        <f t="shared" si="18"/>
        <v>30.62593683607744</v>
      </c>
      <c r="K90" s="15">
        <f t="shared" si="18"/>
        <v>33.059310527119735</v>
      </c>
      <c r="L90" s="15">
        <f t="shared" si="18"/>
        <v>35.492684218162026</v>
      </c>
      <c r="M90" s="15">
        <f t="shared" si="18"/>
        <v>37.926057909204324</v>
      </c>
      <c r="N90" s="15">
        <f t="shared" si="34"/>
        <v>32.085961050702814</v>
      </c>
      <c r="O90" s="84">
        <f t="shared" si="25"/>
        <v>0</v>
      </c>
      <c r="P90" s="84">
        <f t="shared" si="26"/>
        <v>3.650060536563442</v>
      </c>
      <c r="Q90" s="84">
        <f t="shared" si="27"/>
        <v>3.650060536563442</v>
      </c>
      <c r="R90" s="15">
        <f t="shared" si="28"/>
        <v>-7.300121073126884</v>
      </c>
      <c r="S90" s="15">
        <f t="shared" si="29"/>
        <v>-4.866747382084589</v>
      </c>
      <c r="T90" s="15">
        <f t="shared" si="30"/>
        <v>-2.4333736910422945</v>
      </c>
      <c r="U90" s="16">
        <v>0</v>
      </c>
      <c r="V90" s="15">
        <f t="shared" si="31"/>
        <v>2.4333736910422945</v>
      </c>
      <c r="W90" s="15">
        <f t="shared" si="32"/>
        <v>4.866747382084589</v>
      </c>
      <c r="X90" s="15">
        <f t="shared" si="33"/>
        <v>7.300121073126884</v>
      </c>
      <c r="AC90" s="79"/>
    </row>
    <row r="91" spans="1:36">
      <c r="A91" s="14">
        <f>'b（手動）計算用'!E93</f>
        <v>98</v>
      </c>
      <c r="B91" s="84">
        <f t="shared" si="20"/>
        <v>30.69756752178559</v>
      </c>
      <c r="C91" s="84">
        <f t="shared" si="21"/>
        <v>0</v>
      </c>
      <c r="D91" s="84">
        <f t="shared" si="22"/>
        <v>0</v>
      </c>
      <c r="E91" s="84">
        <f t="shared" si="23"/>
        <v>0</v>
      </c>
      <c r="F91" s="84">
        <f t="shared" si="24"/>
        <v>30.69756752178559</v>
      </c>
      <c r="G91" s="15">
        <f t="shared" si="19"/>
        <v>23.396128227364365</v>
      </c>
      <c r="H91" s="15">
        <f t="shared" si="19"/>
        <v>25.829941325504773</v>
      </c>
      <c r="I91" s="15">
        <f t="shared" si="19"/>
        <v>28.263754423645182</v>
      </c>
      <c r="J91" s="15">
        <f t="shared" si="18"/>
        <v>30.69756752178559</v>
      </c>
      <c r="K91" s="15">
        <f t="shared" si="18"/>
        <v>33.131380619925999</v>
      </c>
      <c r="L91" s="15">
        <f t="shared" si="18"/>
        <v>35.565193718066411</v>
      </c>
      <c r="M91" s="15">
        <f t="shared" si="18"/>
        <v>37.999006816206816</v>
      </c>
      <c r="N91" s="15">
        <f t="shared" si="34"/>
        <v>32.157855380669837</v>
      </c>
      <c r="O91" s="84">
        <f t="shared" si="25"/>
        <v>0</v>
      </c>
      <c r="P91" s="84">
        <f t="shared" si="26"/>
        <v>3.6507196472106136</v>
      </c>
      <c r="Q91" s="84">
        <f t="shared" si="27"/>
        <v>3.6507196472106136</v>
      </c>
      <c r="R91" s="15">
        <f t="shared" si="28"/>
        <v>-7.3014392944212272</v>
      </c>
      <c r="S91" s="15">
        <f t="shared" si="29"/>
        <v>-4.8676261962808178</v>
      </c>
      <c r="T91" s="15">
        <f t="shared" si="30"/>
        <v>-2.4338130981404089</v>
      </c>
      <c r="U91" s="16">
        <v>0</v>
      </c>
      <c r="V91" s="15">
        <f t="shared" si="31"/>
        <v>2.4338130981404089</v>
      </c>
      <c r="W91" s="15">
        <f t="shared" si="32"/>
        <v>4.8676261962808178</v>
      </c>
      <c r="X91" s="15">
        <f t="shared" si="33"/>
        <v>7.3014392944212272</v>
      </c>
      <c r="AC91" s="70"/>
    </row>
    <row r="92" spans="1:36">
      <c r="A92" s="14">
        <f>'b（手動）計算用'!E94</f>
        <v>99</v>
      </c>
      <c r="B92" s="84">
        <f t="shared" si="20"/>
        <v>30.767307490167546</v>
      </c>
      <c r="C92" s="84">
        <f t="shared" si="21"/>
        <v>0</v>
      </c>
      <c r="D92" s="84">
        <f t="shared" si="22"/>
        <v>0</v>
      </c>
      <c r="E92" s="84">
        <f t="shared" si="23"/>
        <v>0</v>
      </c>
      <c r="F92" s="84">
        <f t="shared" si="24"/>
        <v>30.767307490167546</v>
      </c>
      <c r="G92" s="15">
        <f t="shared" si="19"/>
        <v>23.464646315061771</v>
      </c>
      <c r="H92" s="15">
        <f t="shared" si="19"/>
        <v>25.898866706763698</v>
      </c>
      <c r="I92" s="15">
        <f t="shared" si="19"/>
        <v>28.333087098465622</v>
      </c>
      <c r="J92" s="15">
        <f t="shared" si="18"/>
        <v>30.767307490167546</v>
      </c>
      <c r="K92" s="15">
        <f t="shared" si="18"/>
        <v>33.201527881869474</v>
      </c>
      <c r="L92" s="15">
        <f t="shared" si="18"/>
        <v>35.635748273571394</v>
      </c>
      <c r="M92" s="15">
        <f t="shared" si="18"/>
        <v>38.069968665273322</v>
      </c>
      <c r="N92" s="15">
        <f t="shared" si="34"/>
        <v>32.227839725188701</v>
      </c>
      <c r="O92" s="84">
        <f t="shared" si="25"/>
        <v>0</v>
      </c>
      <c r="P92" s="84">
        <f t="shared" si="26"/>
        <v>3.6513305875528874</v>
      </c>
      <c r="Q92" s="84">
        <f t="shared" si="27"/>
        <v>3.6513305875528874</v>
      </c>
      <c r="R92" s="15">
        <f t="shared" si="28"/>
        <v>-7.3026611751057748</v>
      </c>
      <c r="S92" s="15">
        <f t="shared" si="29"/>
        <v>-4.8684407834038499</v>
      </c>
      <c r="T92" s="15">
        <f t="shared" si="30"/>
        <v>-2.4342203917019249</v>
      </c>
      <c r="U92" s="16">
        <v>0</v>
      </c>
      <c r="V92" s="15">
        <f t="shared" si="31"/>
        <v>2.4342203917019249</v>
      </c>
      <c r="W92" s="15">
        <f t="shared" si="32"/>
        <v>4.8684407834038499</v>
      </c>
      <c r="X92" s="15">
        <f t="shared" si="33"/>
        <v>7.3026611751057748</v>
      </c>
      <c r="AC92" s="71"/>
    </row>
    <row r="93" spans="1:36">
      <c r="A93" s="14">
        <f>'b（手動）計算用'!E95</f>
        <v>100</v>
      </c>
      <c r="B93" s="84">
        <f t="shared" si="20"/>
        <v>30.835206258852274</v>
      </c>
      <c r="C93" s="84">
        <f t="shared" si="21"/>
        <v>0</v>
      </c>
      <c r="D93" s="84">
        <f t="shared" si="22"/>
        <v>0</v>
      </c>
      <c r="E93" s="84">
        <f t="shared" si="23"/>
        <v>0</v>
      </c>
      <c r="F93" s="84">
        <f t="shared" si="24"/>
        <v>30.835206258852274</v>
      </c>
      <c r="G93" s="15">
        <f t="shared" si="19"/>
        <v>23.531412531596381</v>
      </c>
      <c r="H93" s="15">
        <f t="shared" si="19"/>
        <v>25.966010440681679</v>
      </c>
      <c r="I93" s="15">
        <f t="shared" si="19"/>
        <v>28.400608349766976</v>
      </c>
      <c r="J93" s="15">
        <f t="shared" si="18"/>
        <v>30.835206258852274</v>
      </c>
      <c r="K93" s="15">
        <f t="shared" si="18"/>
        <v>33.269804167937572</v>
      </c>
      <c r="L93" s="15">
        <f t="shared" si="18"/>
        <v>35.70440207702287</v>
      </c>
      <c r="M93" s="15">
        <f t="shared" si="18"/>
        <v>38.138999986108168</v>
      </c>
      <c r="N93" s="15">
        <f t="shared" si="34"/>
        <v>32.295965004303454</v>
      </c>
      <c r="O93" s="84">
        <f t="shared" si="25"/>
        <v>0</v>
      </c>
      <c r="P93" s="84">
        <f t="shared" si="26"/>
        <v>3.6518968636279467</v>
      </c>
      <c r="Q93" s="84">
        <f t="shared" si="27"/>
        <v>3.6518968636279467</v>
      </c>
      <c r="R93" s="15">
        <f t="shared" si="28"/>
        <v>-7.3037937272558935</v>
      </c>
      <c r="S93" s="15">
        <f t="shared" si="29"/>
        <v>-4.8691958181705957</v>
      </c>
      <c r="T93" s="15">
        <f t="shared" si="30"/>
        <v>-2.4345979090852978</v>
      </c>
      <c r="U93" s="16">
        <v>0</v>
      </c>
      <c r="V93" s="15">
        <f t="shared" si="31"/>
        <v>2.4345979090852978</v>
      </c>
      <c r="W93" s="15">
        <f t="shared" si="32"/>
        <v>4.8691958181705957</v>
      </c>
      <c r="X93" s="15">
        <f t="shared" si="33"/>
        <v>7.3037937272558935</v>
      </c>
      <c r="AC93" s="70"/>
    </row>
    <row r="94" spans="1:36">
      <c r="A94" s="14">
        <f>'b（手動）計算用'!E96</f>
        <v>101</v>
      </c>
      <c r="B94" s="84">
        <f t="shared" si="20"/>
        <v>30.901312070509935</v>
      </c>
      <c r="C94" s="84">
        <f t="shared" si="21"/>
        <v>0</v>
      </c>
      <c r="D94" s="84">
        <f t="shared" si="22"/>
        <v>0</v>
      </c>
      <c r="E94" s="84">
        <f t="shared" si="23"/>
        <v>0</v>
      </c>
      <c r="F94" s="84">
        <f t="shared" si="24"/>
        <v>30.901312070509935</v>
      </c>
      <c r="G94" s="15">
        <f t="shared" si="19"/>
        <v>23.596468613855709</v>
      </c>
      <c r="H94" s="15">
        <f t="shared" si="19"/>
        <v>26.03141643274045</v>
      </c>
      <c r="I94" s="15">
        <f t="shared" si="19"/>
        <v>28.466364251625194</v>
      </c>
      <c r="J94" s="15">
        <f t="shared" si="18"/>
        <v>30.901312070509935</v>
      </c>
      <c r="K94" s="15">
        <f t="shared" si="18"/>
        <v>33.336259889394675</v>
      </c>
      <c r="L94" s="15">
        <f t="shared" si="18"/>
        <v>35.77120770827942</v>
      </c>
      <c r="M94" s="15">
        <f t="shared" si="18"/>
        <v>38.206155527164157</v>
      </c>
      <c r="N94" s="15">
        <f t="shared" si="34"/>
        <v>32.362280761840779</v>
      </c>
      <c r="O94" s="84">
        <f t="shared" si="25"/>
        <v>0</v>
      </c>
      <c r="P94" s="84">
        <f t="shared" si="26"/>
        <v>3.6524217283271128</v>
      </c>
      <c r="Q94" s="84">
        <f t="shared" si="27"/>
        <v>3.6524217283271128</v>
      </c>
      <c r="R94" s="15">
        <f t="shared" si="28"/>
        <v>-7.3048434566542255</v>
      </c>
      <c r="S94" s="15">
        <f t="shared" si="29"/>
        <v>-4.869895637769484</v>
      </c>
      <c r="T94" s="15">
        <f t="shared" si="30"/>
        <v>-2.434947818884742</v>
      </c>
      <c r="U94" s="16">
        <v>0</v>
      </c>
      <c r="V94" s="15">
        <f t="shared" si="31"/>
        <v>2.434947818884742</v>
      </c>
      <c r="W94" s="15">
        <f t="shared" si="32"/>
        <v>4.869895637769484</v>
      </c>
      <c r="X94" s="15">
        <f t="shared" si="33"/>
        <v>7.3048434566542255</v>
      </c>
      <c r="AC94" s="70"/>
    </row>
    <row r="95" spans="1:36">
      <c r="A95" s="14">
        <f>'b（手動）計算用'!E97</f>
        <v>102</v>
      </c>
      <c r="B95" s="84">
        <f t="shared" si="20"/>
        <v>30.965671924398183</v>
      </c>
      <c r="C95" s="84">
        <f t="shared" si="21"/>
        <v>0</v>
      </c>
      <c r="D95" s="84">
        <f t="shared" si="22"/>
        <v>0</v>
      </c>
      <c r="E95" s="84">
        <f t="shared" si="23"/>
        <v>0</v>
      </c>
      <c r="F95" s="84">
        <f t="shared" si="24"/>
        <v>30.965671924398183</v>
      </c>
      <c r="G95" s="15">
        <f t="shared" si="19"/>
        <v>23.659855525628039</v>
      </c>
      <c r="H95" s="15">
        <f t="shared" si="19"/>
        <v>26.095127658551419</v>
      </c>
      <c r="I95" s="15">
        <f t="shared" si="19"/>
        <v>28.530399791474803</v>
      </c>
      <c r="J95" s="15">
        <f t="shared" si="18"/>
        <v>30.965671924398183</v>
      </c>
      <c r="K95" s="15">
        <f t="shared" si="18"/>
        <v>33.400944057321567</v>
      </c>
      <c r="L95" s="15">
        <f t="shared" si="18"/>
        <v>35.836216190244947</v>
      </c>
      <c r="M95" s="15">
        <f t="shared" si="18"/>
        <v>38.271488323168327</v>
      </c>
      <c r="N95" s="15">
        <f t="shared" si="34"/>
        <v>32.426835204152212</v>
      </c>
      <c r="O95" s="84">
        <f t="shared" si="25"/>
        <v>0</v>
      </c>
      <c r="P95" s="84">
        <f t="shared" si="26"/>
        <v>3.6529081993850716</v>
      </c>
      <c r="Q95" s="84">
        <f t="shared" si="27"/>
        <v>3.6529081993850716</v>
      </c>
      <c r="R95" s="15">
        <f t="shared" si="28"/>
        <v>-7.3058163987701432</v>
      </c>
      <c r="S95" s="15">
        <f t="shared" si="29"/>
        <v>-4.8705442658467621</v>
      </c>
      <c r="T95" s="15">
        <f t="shared" si="30"/>
        <v>-2.4352721329233811</v>
      </c>
      <c r="U95" s="16">
        <v>0</v>
      </c>
      <c r="V95" s="15">
        <f t="shared" si="31"/>
        <v>2.4352721329233811</v>
      </c>
      <c r="W95" s="15">
        <f t="shared" si="32"/>
        <v>4.8705442658467621</v>
      </c>
      <c r="X95" s="15">
        <f t="shared" si="33"/>
        <v>7.3058163987701432</v>
      </c>
      <c r="AC95" s="70"/>
    </row>
    <row r="96" spans="1:36">
      <c r="A96" s="14">
        <f>'b（手動）計算用'!E98</f>
        <v>103</v>
      </c>
      <c r="B96" s="84">
        <f t="shared" si="20"/>
        <v>31.02833160720715</v>
      </c>
      <c r="C96" s="84">
        <f t="shared" si="21"/>
        <v>0</v>
      </c>
      <c r="D96" s="84">
        <f t="shared" si="22"/>
        <v>0</v>
      </c>
      <c r="E96" s="84">
        <f t="shared" si="23"/>
        <v>0</v>
      </c>
      <c r="F96" s="84">
        <f t="shared" si="24"/>
        <v>31.02833160720715</v>
      </c>
      <c r="G96" s="15">
        <f t="shared" si="19"/>
        <v>23.721613454942961</v>
      </c>
      <c r="H96" s="15">
        <f t="shared" si="19"/>
        <v>26.157186172364359</v>
      </c>
      <c r="I96" s="15">
        <f t="shared" si="19"/>
        <v>28.592758889785756</v>
      </c>
      <c r="J96" s="15">
        <f t="shared" si="18"/>
        <v>31.02833160720715</v>
      </c>
      <c r="K96" s="15">
        <f t="shared" si="18"/>
        <v>33.463904324628544</v>
      </c>
      <c r="L96" s="15">
        <f t="shared" si="18"/>
        <v>35.899477042049938</v>
      </c>
      <c r="M96" s="15">
        <f t="shared" si="18"/>
        <v>38.335049759471339</v>
      </c>
      <c r="N96" s="15">
        <f t="shared" si="34"/>
        <v>32.489675237659988</v>
      </c>
      <c r="O96" s="84">
        <f t="shared" si="25"/>
        <v>0</v>
      </c>
      <c r="P96" s="84">
        <f t="shared" si="26"/>
        <v>3.6533590761320935</v>
      </c>
      <c r="Q96" s="84">
        <f t="shared" si="27"/>
        <v>3.6533590761320935</v>
      </c>
      <c r="R96" s="15">
        <f t="shared" si="28"/>
        <v>-7.3067181522641871</v>
      </c>
      <c r="S96" s="15">
        <f t="shared" si="29"/>
        <v>-4.8711454348427914</v>
      </c>
      <c r="T96" s="15">
        <f t="shared" si="30"/>
        <v>-2.4355727174213957</v>
      </c>
      <c r="U96" s="16">
        <v>0</v>
      </c>
      <c r="V96" s="15">
        <f t="shared" si="31"/>
        <v>2.4355727174213957</v>
      </c>
      <c r="W96" s="15">
        <f t="shared" si="32"/>
        <v>4.8711454348427914</v>
      </c>
      <c r="X96" s="15">
        <f t="shared" si="33"/>
        <v>7.3067181522641871</v>
      </c>
      <c r="AC96" s="70"/>
    </row>
    <row r="97" spans="1:29">
      <c r="A97" s="14">
        <f>'b（手動）計算用'!E99</f>
        <v>104</v>
      </c>
      <c r="B97" s="84">
        <f t="shared" si="20"/>
        <v>31.089335723213324</v>
      </c>
      <c r="C97" s="84">
        <f t="shared" si="21"/>
        <v>0</v>
      </c>
      <c r="D97" s="84">
        <f t="shared" si="22"/>
        <v>0</v>
      </c>
      <c r="E97" s="84">
        <f t="shared" si="23"/>
        <v>0</v>
      </c>
      <c r="F97" s="84">
        <f t="shared" si="24"/>
        <v>31.089335723213324</v>
      </c>
      <c r="G97" s="15">
        <f t="shared" si="19"/>
        <v>23.781781813037302</v>
      </c>
      <c r="H97" s="15">
        <f t="shared" si="19"/>
        <v>26.217633116429308</v>
      </c>
      <c r="I97" s="15">
        <f t="shared" si="19"/>
        <v>28.653484419821318</v>
      </c>
      <c r="J97" s="15">
        <f t="shared" si="18"/>
        <v>31.089335723213324</v>
      </c>
      <c r="K97" s="15">
        <f t="shared" si="18"/>
        <v>33.52518702660533</v>
      </c>
      <c r="L97" s="15">
        <f t="shared" si="18"/>
        <v>35.961038329997336</v>
      </c>
      <c r="M97" s="15">
        <f t="shared" si="18"/>
        <v>38.39688963338935</v>
      </c>
      <c r="N97" s="15">
        <f t="shared" si="34"/>
        <v>32.550846505248529</v>
      </c>
      <c r="O97" s="84">
        <f t="shared" si="25"/>
        <v>0</v>
      </c>
      <c r="P97" s="84">
        <f t="shared" si="26"/>
        <v>3.653776955088011</v>
      </c>
      <c r="Q97" s="84">
        <f t="shared" si="27"/>
        <v>3.653776955088011</v>
      </c>
      <c r="R97" s="15">
        <f t="shared" si="28"/>
        <v>-7.3075539101760221</v>
      </c>
      <c r="S97" s="15">
        <f t="shared" si="29"/>
        <v>-4.871702606784015</v>
      </c>
      <c r="T97" s="15">
        <f t="shared" si="30"/>
        <v>-2.4358513033920075</v>
      </c>
      <c r="U97" s="16">
        <v>0</v>
      </c>
      <c r="V97" s="15">
        <f t="shared" si="31"/>
        <v>2.4358513033920075</v>
      </c>
      <c r="W97" s="15">
        <f t="shared" si="32"/>
        <v>4.871702606784015</v>
      </c>
      <c r="X97" s="15">
        <f t="shared" si="33"/>
        <v>7.3075539101760221</v>
      </c>
    </row>
    <row r="98" spans="1:29">
      <c r="A98" s="14">
        <f>'b（手動）計算用'!E100</f>
        <v>105</v>
      </c>
      <c r="B98" s="84">
        <f t="shared" si="20"/>
        <v>31.148727723752835</v>
      </c>
      <c r="C98" s="84">
        <f t="shared" si="21"/>
        <v>0</v>
      </c>
      <c r="D98" s="84">
        <f t="shared" si="22"/>
        <v>0</v>
      </c>
      <c r="E98" s="84">
        <f t="shared" si="23"/>
        <v>0</v>
      </c>
      <c r="F98" s="84">
        <f t="shared" si="24"/>
        <v>31.148727723752835</v>
      </c>
      <c r="G98" s="15">
        <f t="shared" si="19"/>
        <v>23.840399234806849</v>
      </c>
      <c r="H98" s="15">
        <f t="shared" si="19"/>
        <v>26.276508731122178</v>
      </c>
      <c r="I98" s="15">
        <f t="shared" si="19"/>
        <v>28.712618227437506</v>
      </c>
      <c r="J98" s="15">
        <f t="shared" si="18"/>
        <v>31.148727723752835</v>
      </c>
      <c r="K98" s="15">
        <f t="shared" si="18"/>
        <v>33.584837220068167</v>
      </c>
      <c r="L98" s="15">
        <f t="shared" si="18"/>
        <v>36.020946716383492</v>
      </c>
      <c r="M98" s="15">
        <f t="shared" si="18"/>
        <v>38.457056212698816</v>
      </c>
      <c r="N98" s="15">
        <f t="shared" si="34"/>
        <v>32.610393421542035</v>
      </c>
      <c r="O98" s="84">
        <f t="shared" si="25"/>
        <v>0</v>
      </c>
      <c r="P98" s="84">
        <f t="shared" si="26"/>
        <v>3.6541642444729927</v>
      </c>
      <c r="Q98" s="84">
        <f t="shared" si="27"/>
        <v>3.6541642444729927</v>
      </c>
      <c r="R98" s="15">
        <f t="shared" si="28"/>
        <v>-7.3083284889459854</v>
      </c>
      <c r="S98" s="15">
        <f t="shared" si="29"/>
        <v>-4.8722189926306569</v>
      </c>
      <c r="T98" s="15">
        <f t="shared" si="30"/>
        <v>-2.4361094963153285</v>
      </c>
      <c r="U98" s="16">
        <v>0</v>
      </c>
      <c r="V98" s="15">
        <f t="shared" si="31"/>
        <v>2.4361094963153285</v>
      </c>
      <c r="W98" s="15">
        <f t="shared" si="32"/>
        <v>4.8722189926306569</v>
      </c>
      <c r="X98" s="15">
        <f t="shared" si="33"/>
        <v>7.3083284889459854</v>
      </c>
    </row>
    <row r="99" spans="1:29">
      <c r="A99" s="14">
        <f>'b（手動）計算用'!E101</f>
        <v>106</v>
      </c>
      <c r="B99" s="84">
        <f t="shared" si="20"/>
        <v>31.206549936024917</v>
      </c>
      <c r="C99" s="84">
        <f t="shared" si="21"/>
        <v>0</v>
      </c>
      <c r="D99" s="84">
        <f t="shared" si="22"/>
        <v>0</v>
      </c>
      <c r="E99" s="84">
        <f t="shared" si="23"/>
        <v>0</v>
      </c>
      <c r="F99" s="84">
        <f t="shared" si="24"/>
        <v>31.206549936024917</v>
      </c>
      <c r="G99" s="15">
        <f t="shared" si="19"/>
        <v>23.897503580612877</v>
      </c>
      <c r="H99" s="15">
        <f t="shared" si="19"/>
        <v>26.333852365750225</v>
      </c>
      <c r="I99" s="15">
        <f t="shared" si="19"/>
        <v>28.770201150887569</v>
      </c>
      <c r="J99" s="15">
        <f t="shared" si="18"/>
        <v>31.206549936024917</v>
      </c>
      <c r="K99" s="15">
        <f t="shared" si="18"/>
        <v>33.642898721162261</v>
      </c>
      <c r="L99" s="15">
        <f t="shared" si="18"/>
        <v>36.079247506299609</v>
      </c>
      <c r="M99" s="15">
        <f t="shared" si="18"/>
        <v>38.515596291436957</v>
      </c>
      <c r="N99" s="15">
        <f t="shared" si="34"/>
        <v>32.668359207107322</v>
      </c>
      <c r="O99" s="84">
        <f t="shared" si="25"/>
        <v>0</v>
      </c>
      <c r="P99" s="84">
        <f t="shared" si="26"/>
        <v>3.6545231777060203</v>
      </c>
      <c r="Q99" s="84">
        <f t="shared" si="27"/>
        <v>3.6545231777060203</v>
      </c>
      <c r="R99" s="15">
        <f t="shared" si="28"/>
        <v>-7.3090463554120406</v>
      </c>
      <c r="S99" s="15">
        <f t="shared" si="29"/>
        <v>-4.8726975702746937</v>
      </c>
      <c r="T99" s="15">
        <f t="shared" si="30"/>
        <v>-2.4363487851373469</v>
      </c>
      <c r="U99" s="16">
        <v>0</v>
      </c>
      <c r="V99" s="15">
        <f t="shared" si="31"/>
        <v>2.4363487851373469</v>
      </c>
      <c r="W99" s="15">
        <f t="shared" si="32"/>
        <v>4.8726975702746937</v>
      </c>
      <c r="X99" s="15">
        <f t="shared" si="33"/>
        <v>7.3090463554120406</v>
      </c>
    </row>
    <row r="100" spans="1:29">
      <c r="A100" s="14">
        <f>'b（手動）計算用'!E102</f>
        <v>107</v>
      </c>
      <c r="B100" s="84">
        <f t="shared" si="20"/>
        <v>31.262843591236493</v>
      </c>
      <c r="C100" s="84">
        <f t="shared" si="21"/>
        <v>0</v>
      </c>
      <c r="D100" s="84">
        <f t="shared" si="22"/>
        <v>0</v>
      </c>
      <c r="E100" s="84">
        <f t="shared" si="23"/>
        <v>0</v>
      </c>
      <c r="F100" s="84">
        <f t="shared" si="24"/>
        <v>31.262843591236493</v>
      </c>
      <c r="G100" s="15">
        <f t="shared" si="19"/>
        <v>23.95313193932051</v>
      </c>
      <c r="H100" s="15">
        <f t="shared" si="19"/>
        <v>26.38970248995917</v>
      </c>
      <c r="I100" s="15">
        <f t="shared" si="19"/>
        <v>28.826273040597833</v>
      </c>
      <c r="J100" s="15">
        <f t="shared" si="18"/>
        <v>31.262843591236493</v>
      </c>
      <c r="K100" s="15">
        <f t="shared" si="18"/>
        <v>33.699414141875152</v>
      </c>
      <c r="L100" s="15">
        <f t="shared" si="18"/>
        <v>36.135984692513816</v>
      </c>
      <c r="M100" s="15">
        <f t="shared" si="18"/>
        <v>38.572555243152479</v>
      </c>
      <c r="N100" s="15">
        <f t="shared" si="34"/>
        <v>32.724785921619691</v>
      </c>
      <c r="O100" s="84">
        <f t="shared" si="25"/>
        <v>0</v>
      </c>
      <c r="P100" s="84">
        <f t="shared" si="26"/>
        <v>3.6548558259579917</v>
      </c>
      <c r="Q100" s="84">
        <f t="shared" si="27"/>
        <v>3.6548558259579917</v>
      </c>
      <c r="R100" s="15">
        <f t="shared" si="28"/>
        <v>-7.3097116519159835</v>
      </c>
      <c r="S100" s="15">
        <f t="shared" si="29"/>
        <v>-4.873141101277322</v>
      </c>
      <c r="T100" s="15">
        <f t="shared" si="30"/>
        <v>-2.436570550638661</v>
      </c>
      <c r="U100" s="16">
        <v>0</v>
      </c>
      <c r="V100" s="15">
        <f t="shared" si="31"/>
        <v>2.436570550638661</v>
      </c>
      <c r="W100" s="15">
        <f t="shared" si="32"/>
        <v>4.873141101277322</v>
      </c>
      <c r="X100" s="15">
        <f t="shared" si="33"/>
        <v>7.3097116519159835</v>
      </c>
    </row>
    <row r="101" spans="1:29">
      <c r="A101" s="14">
        <f>'b（手動）計算用'!E103</f>
        <v>108</v>
      </c>
      <c r="B101" s="84">
        <f t="shared" si="20"/>
        <v>31.31764885209887</v>
      </c>
      <c r="C101" s="84">
        <f t="shared" si="21"/>
        <v>0</v>
      </c>
      <c r="D101" s="84">
        <f t="shared" si="22"/>
        <v>0</v>
      </c>
      <c r="E101" s="84">
        <f t="shared" si="23"/>
        <v>0</v>
      </c>
      <c r="F101" s="84">
        <f t="shared" si="24"/>
        <v>31.31764885209887</v>
      </c>
      <c r="G101" s="15">
        <f t="shared" si="19"/>
        <v>24.007320632453929</v>
      </c>
      <c r="H101" s="15">
        <f t="shared" si="19"/>
        <v>26.444096705668912</v>
      </c>
      <c r="I101" s="15">
        <f t="shared" si="19"/>
        <v>28.880872778883891</v>
      </c>
      <c r="J101" s="15">
        <f t="shared" si="18"/>
        <v>31.31764885209887</v>
      </c>
      <c r="K101" s="15">
        <f t="shared" si="18"/>
        <v>33.754424925313849</v>
      </c>
      <c r="L101" s="15">
        <f t="shared" si="18"/>
        <v>36.191200998528828</v>
      </c>
      <c r="M101" s="15">
        <f t="shared" si="18"/>
        <v>38.627977071743807</v>
      </c>
      <c r="N101" s="15">
        <f t="shared" si="34"/>
        <v>32.779714496027857</v>
      </c>
      <c r="O101" s="84">
        <f t="shared" si="25"/>
        <v>0</v>
      </c>
      <c r="P101" s="84">
        <f t="shared" si="26"/>
        <v>3.6551641098224699</v>
      </c>
      <c r="Q101" s="84">
        <f t="shared" si="27"/>
        <v>3.6551641098224699</v>
      </c>
      <c r="R101" s="15">
        <f t="shared" si="28"/>
        <v>-7.3103282196449397</v>
      </c>
      <c r="S101" s="15">
        <f t="shared" si="29"/>
        <v>-4.8735521464299598</v>
      </c>
      <c r="T101" s="15">
        <f t="shared" si="30"/>
        <v>-2.4367760732149799</v>
      </c>
      <c r="U101" s="16">
        <v>0</v>
      </c>
      <c r="V101" s="15">
        <f t="shared" si="31"/>
        <v>2.4367760732149799</v>
      </c>
      <c r="W101" s="15">
        <f t="shared" si="32"/>
        <v>4.8735521464299598</v>
      </c>
      <c r="X101" s="15">
        <f t="shared" si="33"/>
        <v>7.3103282196449397</v>
      </c>
    </row>
    <row r="102" spans="1:29">
      <c r="A102" s="14">
        <f>'b（手動）計算用'!E104</f>
        <v>109</v>
      </c>
      <c r="B102" s="84">
        <f t="shared" si="20"/>
        <v>31.37100483968786</v>
      </c>
      <c r="C102" s="84">
        <f t="shared" si="21"/>
        <v>0</v>
      </c>
      <c r="D102" s="84">
        <f t="shared" si="22"/>
        <v>0</v>
      </c>
      <c r="E102" s="84">
        <f t="shared" si="23"/>
        <v>0</v>
      </c>
      <c r="F102" s="84">
        <f t="shared" si="24"/>
        <v>31.37100483968786</v>
      </c>
      <c r="G102" s="15">
        <f t="shared" si="19"/>
        <v>24.060105219361134</v>
      </c>
      <c r="H102" s="15">
        <f t="shared" si="19"/>
        <v>26.497071759470042</v>
      </c>
      <c r="I102" s="15">
        <f t="shared" si="19"/>
        <v>28.934038299578951</v>
      </c>
      <c r="J102" s="15">
        <f t="shared" si="18"/>
        <v>31.37100483968786</v>
      </c>
      <c r="K102" s="15">
        <f t="shared" si="18"/>
        <v>33.807971379796768</v>
      </c>
      <c r="L102" s="15">
        <f t="shared" si="18"/>
        <v>36.244937919905681</v>
      </c>
      <c r="M102" s="15">
        <f t="shared" si="18"/>
        <v>38.681904460014586</v>
      </c>
      <c r="N102" s="15">
        <f t="shared" si="34"/>
        <v>32.833184763753202</v>
      </c>
      <c r="O102" s="84">
        <f t="shared" si="25"/>
        <v>0</v>
      </c>
      <c r="P102" s="84">
        <f t="shared" si="26"/>
        <v>3.6554498101633639</v>
      </c>
      <c r="Q102" s="84">
        <f t="shared" si="27"/>
        <v>3.6554498101633639</v>
      </c>
      <c r="R102" s="15">
        <f t="shared" si="28"/>
        <v>-7.3108996203267278</v>
      </c>
      <c r="S102" s="15">
        <f t="shared" si="29"/>
        <v>-4.8739330802178182</v>
      </c>
      <c r="T102" s="15">
        <f t="shared" si="30"/>
        <v>-2.4369665401089091</v>
      </c>
      <c r="U102" s="16">
        <v>0</v>
      </c>
      <c r="V102" s="15">
        <f t="shared" si="31"/>
        <v>2.4369665401089091</v>
      </c>
      <c r="W102" s="15">
        <f t="shared" si="32"/>
        <v>4.8739330802178182</v>
      </c>
      <c r="X102" s="15">
        <f t="shared" si="33"/>
        <v>7.3108996203267278</v>
      </c>
    </row>
    <row r="103" spans="1:29">
      <c r="A103" s="14">
        <f>'b（手動）計算用'!E105</f>
        <v>110</v>
      </c>
      <c r="B103" s="84">
        <f t="shared" si="20"/>
        <v>31.422949659678519</v>
      </c>
      <c r="C103" s="84">
        <f t="shared" si="21"/>
        <v>0</v>
      </c>
      <c r="D103" s="84">
        <f t="shared" si="22"/>
        <v>0</v>
      </c>
      <c r="E103" s="84">
        <f t="shared" si="23"/>
        <v>0</v>
      </c>
      <c r="F103" s="84">
        <f t="shared" si="24"/>
        <v>31.422949659678519</v>
      </c>
      <c r="G103" s="15">
        <f t="shared" si="19"/>
        <v>24.11152050328802</v>
      </c>
      <c r="H103" s="15">
        <f t="shared" si="19"/>
        <v>26.548663555418184</v>
      </c>
      <c r="I103" s="15">
        <f t="shared" si="19"/>
        <v>28.985806607548351</v>
      </c>
      <c r="J103" s="15">
        <f t="shared" si="18"/>
        <v>31.422949659678519</v>
      </c>
      <c r="K103" s="15">
        <f t="shared" si="18"/>
        <v>33.860092711808683</v>
      </c>
      <c r="L103" s="15">
        <f t="shared" si="18"/>
        <v>36.297235763938851</v>
      </c>
      <c r="M103" s="15">
        <f t="shared" si="18"/>
        <v>38.734378816069018</v>
      </c>
      <c r="N103" s="15">
        <f t="shared" si="34"/>
        <v>32.885235490956617</v>
      </c>
      <c r="O103" s="84">
        <f t="shared" si="25"/>
        <v>0</v>
      </c>
      <c r="P103" s="84">
        <f t="shared" si="26"/>
        <v>3.6557145781952505</v>
      </c>
      <c r="Q103" s="84">
        <f t="shared" si="27"/>
        <v>3.6557145781952505</v>
      </c>
      <c r="R103" s="15">
        <f t="shared" si="28"/>
        <v>-7.3114291563905009</v>
      </c>
      <c r="S103" s="15">
        <f t="shared" si="29"/>
        <v>-4.8742861042603343</v>
      </c>
      <c r="T103" s="15">
        <f t="shared" si="30"/>
        <v>-2.4371430521301671</v>
      </c>
      <c r="U103" s="16">
        <v>0</v>
      </c>
      <c r="V103" s="15">
        <f t="shared" si="31"/>
        <v>2.4371430521301671</v>
      </c>
      <c r="W103" s="15">
        <f t="shared" si="32"/>
        <v>4.8742861042603343</v>
      </c>
      <c r="X103" s="15">
        <f t="shared" si="33"/>
        <v>7.3114291563905009</v>
      </c>
    </row>
    <row r="104" spans="1:29">
      <c r="A104" s="14">
        <f>'b（手動）計算用'!E106</f>
        <v>111</v>
      </c>
      <c r="B104" s="84">
        <f t="shared" si="20"/>
        <v>31.473520427965919</v>
      </c>
      <c r="C104" s="84">
        <f t="shared" si="21"/>
        <v>0</v>
      </c>
      <c r="D104" s="84">
        <f t="shared" si="22"/>
        <v>0</v>
      </c>
      <c r="E104" s="84">
        <f t="shared" si="23"/>
        <v>0</v>
      </c>
      <c r="F104" s="84">
        <f t="shared" si="24"/>
        <v>31.473520427965919</v>
      </c>
      <c r="G104" s="15">
        <f t="shared" si="19"/>
        <v>24.161600538268736</v>
      </c>
      <c r="H104" s="15">
        <f t="shared" si="19"/>
        <v>26.598907168167798</v>
      </c>
      <c r="I104" s="15">
        <f t="shared" si="19"/>
        <v>29.036213798066857</v>
      </c>
      <c r="J104" s="15">
        <f t="shared" si="18"/>
        <v>31.473520427965919</v>
      </c>
      <c r="K104" s="15">
        <f t="shared" si="18"/>
        <v>33.910827057864978</v>
      </c>
      <c r="L104" s="15">
        <f t="shared" si="18"/>
        <v>36.34813368776404</v>
      </c>
      <c r="M104" s="15">
        <f t="shared" si="18"/>
        <v>38.785440317663102</v>
      </c>
      <c r="N104" s="15">
        <f t="shared" si="34"/>
        <v>32.935904405905355</v>
      </c>
      <c r="O104" s="84">
        <f t="shared" si="25"/>
        <v>0</v>
      </c>
      <c r="P104" s="84">
        <f t="shared" si="26"/>
        <v>3.655959944848592</v>
      </c>
      <c r="Q104" s="84">
        <f t="shared" si="27"/>
        <v>3.655959944848592</v>
      </c>
      <c r="R104" s="15">
        <f t="shared" si="28"/>
        <v>-7.311919889697184</v>
      </c>
      <c r="S104" s="15">
        <f t="shared" si="29"/>
        <v>-4.8746132597981227</v>
      </c>
      <c r="T104" s="15">
        <f t="shared" si="30"/>
        <v>-2.4373066298990613</v>
      </c>
      <c r="U104" s="16">
        <v>0</v>
      </c>
      <c r="V104" s="15">
        <f t="shared" si="31"/>
        <v>2.4373066298990613</v>
      </c>
      <c r="W104" s="15">
        <f t="shared" si="32"/>
        <v>4.8746132597981227</v>
      </c>
      <c r="X104" s="15">
        <f t="shared" si="33"/>
        <v>7.311919889697184</v>
      </c>
    </row>
    <row r="105" spans="1:29">
      <c r="A105" s="14">
        <f>'b（手動）計算用'!E107</f>
        <v>112</v>
      </c>
      <c r="B105" s="84">
        <f t="shared" si="20"/>
        <v>31.522753295683174</v>
      </c>
      <c r="C105" s="84">
        <f t="shared" si="21"/>
        <v>0</v>
      </c>
      <c r="D105" s="84">
        <f t="shared" si="22"/>
        <v>0</v>
      </c>
      <c r="E105" s="84">
        <f t="shared" si="23"/>
        <v>0</v>
      </c>
      <c r="F105" s="84">
        <f t="shared" si="24"/>
        <v>31.522753295683174</v>
      </c>
      <c r="G105" s="15">
        <f t="shared" si="19"/>
        <v>24.210378636745418</v>
      </c>
      <c r="H105" s="15">
        <f t="shared" si="19"/>
        <v>26.647836856391336</v>
      </c>
      <c r="I105" s="15">
        <f t="shared" si="19"/>
        <v>29.085295076037255</v>
      </c>
      <c r="J105" s="15">
        <f t="shared" si="18"/>
        <v>31.522753295683174</v>
      </c>
      <c r="K105" s="15">
        <f t="shared" si="18"/>
        <v>33.960211515329092</v>
      </c>
      <c r="L105" s="15">
        <f t="shared" si="18"/>
        <v>36.397669734975011</v>
      </c>
      <c r="M105" s="15">
        <f t="shared" si="18"/>
        <v>38.83512795462093</v>
      </c>
      <c r="N105" s="15">
        <f t="shared" si="34"/>
        <v>32.985228227470728</v>
      </c>
      <c r="O105" s="84">
        <f t="shared" si="25"/>
        <v>0</v>
      </c>
      <c r="P105" s="84">
        <f t="shared" si="26"/>
        <v>3.6561873294688771</v>
      </c>
      <c r="Q105" s="84">
        <f t="shared" si="27"/>
        <v>3.6561873294688771</v>
      </c>
      <c r="R105" s="15">
        <f t="shared" si="28"/>
        <v>-7.3123746589377543</v>
      </c>
      <c r="S105" s="15">
        <f t="shared" si="29"/>
        <v>-4.8749164392918365</v>
      </c>
      <c r="T105" s="15">
        <f t="shared" si="30"/>
        <v>-2.4374582196459182</v>
      </c>
      <c r="U105" s="16">
        <v>0</v>
      </c>
      <c r="V105" s="15">
        <f t="shared" si="31"/>
        <v>2.4374582196459182</v>
      </c>
      <c r="W105" s="15">
        <f t="shared" si="32"/>
        <v>4.8749164392918365</v>
      </c>
      <c r="X105" s="15">
        <f t="shared" si="33"/>
        <v>7.3123746589377543</v>
      </c>
    </row>
    <row r="106" spans="1:29">
      <c r="A106" s="14">
        <f>'b（手動）計算用'!E108</f>
        <v>113</v>
      </c>
      <c r="B106" s="84">
        <f t="shared" si="20"/>
        <v>31.570683473628286</v>
      </c>
      <c r="C106" s="84">
        <f t="shared" si="21"/>
        <v>0</v>
      </c>
      <c r="D106" s="84">
        <f t="shared" si="22"/>
        <v>0</v>
      </c>
      <c r="E106" s="84">
        <f t="shared" si="23"/>
        <v>0</v>
      </c>
      <c r="F106" s="84">
        <f t="shared" si="24"/>
        <v>31.570683473628286</v>
      </c>
      <c r="G106" s="15">
        <f t="shared" si="19"/>
        <v>24.257887377837182</v>
      </c>
      <c r="H106" s="15">
        <f t="shared" si="19"/>
        <v>26.695486076434218</v>
      </c>
      <c r="I106" s="15">
        <f t="shared" si="19"/>
        <v>29.13308477503125</v>
      </c>
      <c r="J106" s="15">
        <f t="shared" si="18"/>
        <v>31.570683473628286</v>
      </c>
      <c r="K106" s="15">
        <f t="shared" si="18"/>
        <v>34.008282172225321</v>
      </c>
      <c r="L106" s="15">
        <f t="shared" si="18"/>
        <v>36.445880870822357</v>
      </c>
      <c r="M106" s="15">
        <f t="shared" si="18"/>
        <v>38.883479569419393</v>
      </c>
      <c r="N106" s="15">
        <f t="shared" si="34"/>
        <v>33.033242692786509</v>
      </c>
      <c r="O106" s="84">
        <f t="shared" si="25"/>
        <v>0</v>
      </c>
      <c r="P106" s="84">
        <f t="shared" si="26"/>
        <v>3.6563980478955518</v>
      </c>
      <c r="Q106" s="84">
        <f t="shared" si="27"/>
        <v>3.6563980478955518</v>
      </c>
      <c r="R106" s="15">
        <f t="shared" si="28"/>
        <v>-7.3127960957911036</v>
      </c>
      <c r="S106" s="15">
        <f t="shared" si="29"/>
        <v>-4.8751973971940687</v>
      </c>
      <c r="T106" s="15">
        <f t="shared" si="30"/>
        <v>-2.4375986985970344</v>
      </c>
      <c r="U106" s="16">
        <v>0</v>
      </c>
      <c r="V106" s="15">
        <f t="shared" si="31"/>
        <v>2.4375986985970344</v>
      </c>
      <c r="W106" s="15">
        <f t="shared" si="32"/>
        <v>4.8751973971940687</v>
      </c>
      <c r="X106" s="15">
        <f t="shared" si="33"/>
        <v>7.3127960957911036</v>
      </c>
    </row>
    <row r="107" spans="1:29">
      <c r="A107" s="14">
        <f>'b（手動）計算用'!E109</f>
        <v>114</v>
      </c>
      <c r="B107" s="84">
        <f t="shared" si="20"/>
        <v>31.617345256111054</v>
      </c>
      <c r="C107" s="84">
        <f t="shared" si="21"/>
        <v>0</v>
      </c>
      <c r="D107" s="84">
        <f t="shared" si="22"/>
        <v>0</v>
      </c>
      <c r="E107" s="84">
        <f t="shared" si="23"/>
        <v>0</v>
      </c>
      <c r="F107" s="84">
        <f t="shared" si="24"/>
        <v>31.617345256111054</v>
      </c>
      <c r="G107" s="15">
        <f t="shared" si="19"/>
        <v>24.304158616183656</v>
      </c>
      <c r="H107" s="15">
        <f t="shared" si="19"/>
        <v>26.741887496159453</v>
      </c>
      <c r="I107" s="15">
        <f t="shared" si="19"/>
        <v>29.179616376135254</v>
      </c>
      <c r="J107" s="15">
        <f t="shared" si="18"/>
        <v>31.617345256111054</v>
      </c>
      <c r="K107" s="15">
        <f t="shared" si="18"/>
        <v>34.055074136086851</v>
      </c>
      <c r="L107" s="15">
        <f t="shared" si="18"/>
        <v>36.492803016062652</v>
      </c>
      <c r="M107" s="15">
        <f t="shared" si="18"/>
        <v>38.930531896038453</v>
      </c>
      <c r="N107" s="15">
        <f t="shared" si="34"/>
        <v>33.079982584096534</v>
      </c>
      <c r="O107" s="84">
        <f t="shared" si="25"/>
        <v>0</v>
      </c>
      <c r="P107" s="84">
        <f t="shared" si="26"/>
        <v>3.6565933199637</v>
      </c>
      <c r="Q107" s="84">
        <f t="shared" si="27"/>
        <v>3.6565933199637</v>
      </c>
      <c r="R107" s="15">
        <f t="shared" si="28"/>
        <v>-7.3131866399273999</v>
      </c>
      <c r="S107" s="15">
        <f t="shared" si="29"/>
        <v>-4.8754577599516002</v>
      </c>
      <c r="T107" s="15">
        <f t="shared" si="30"/>
        <v>-2.4377288799758001</v>
      </c>
      <c r="U107" s="16">
        <v>0</v>
      </c>
      <c r="V107" s="15">
        <f t="shared" si="31"/>
        <v>2.4377288799758001</v>
      </c>
      <c r="W107" s="15">
        <f t="shared" si="32"/>
        <v>4.8754577599516002</v>
      </c>
      <c r="X107" s="15">
        <f t="shared" si="33"/>
        <v>7.3131866399273999</v>
      </c>
      <c r="AC107" s="81"/>
    </row>
    <row r="108" spans="1:29">
      <c r="A108" s="14">
        <f>'b（手動）計算用'!E110</f>
        <v>115</v>
      </c>
      <c r="B108" s="84">
        <f t="shared" si="20"/>
        <v>31.66277204423135</v>
      </c>
      <c r="C108" s="84">
        <f t="shared" si="21"/>
        <v>0</v>
      </c>
      <c r="D108" s="84">
        <f t="shared" si="22"/>
        <v>0</v>
      </c>
      <c r="E108" s="84">
        <f t="shared" si="23"/>
        <v>0</v>
      </c>
      <c r="F108" s="84">
        <f t="shared" si="24"/>
        <v>31.66277204423135</v>
      </c>
      <c r="G108" s="15">
        <f t="shared" si="19"/>
        <v>24.349223491294111</v>
      </c>
      <c r="H108" s="15">
        <f t="shared" si="19"/>
        <v>26.787073008939856</v>
      </c>
      <c r="I108" s="15">
        <f t="shared" si="19"/>
        <v>29.224922526585601</v>
      </c>
      <c r="J108" s="15">
        <f t="shared" si="18"/>
        <v>31.66277204423135</v>
      </c>
      <c r="K108" s="15">
        <f t="shared" si="18"/>
        <v>34.100621561877098</v>
      </c>
      <c r="L108" s="15">
        <f t="shared" si="18"/>
        <v>36.538471079522843</v>
      </c>
      <c r="M108" s="15">
        <f t="shared" si="18"/>
        <v>38.976320597168588</v>
      </c>
      <c r="N108" s="15">
        <f t="shared" si="34"/>
        <v>33.1254817548188</v>
      </c>
      <c r="O108" s="84">
        <f t="shared" si="25"/>
        <v>0</v>
      </c>
      <c r="P108" s="84">
        <f t="shared" si="26"/>
        <v>3.65677427646862</v>
      </c>
      <c r="Q108" s="84">
        <f t="shared" si="27"/>
        <v>3.65677427646862</v>
      </c>
      <c r="R108" s="15">
        <f t="shared" si="28"/>
        <v>-7.3135485529372399</v>
      </c>
      <c r="S108" s="15">
        <f t="shared" si="29"/>
        <v>-4.8756990352914933</v>
      </c>
      <c r="T108" s="15">
        <f t="shared" si="30"/>
        <v>-2.4378495176457466</v>
      </c>
      <c r="U108" s="16">
        <v>0</v>
      </c>
      <c r="V108" s="15">
        <f t="shared" si="31"/>
        <v>2.4378495176457466</v>
      </c>
      <c r="W108" s="15">
        <f t="shared" si="32"/>
        <v>4.8756990352914933</v>
      </c>
      <c r="X108" s="15">
        <f t="shared" si="33"/>
        <v>7.3135485529372399</v>
      </c>
    </row>
    <row r="109" spans="1:29">
      <c r="A109" s="14">
        <f>'b（手動）計算用'!E111</f>
        <v>116</v>
      </c>
      <c r="B109" s="84">
        <f t="shared" si="20"/>
        <v>31.706996368600176</v>
      </c>
      <c r="C109" s="84">
        <f t="shared" si="21"/>
        <v>0</v>
      </c>
      <c r="D109" s="84">
        <f t="shared" si="22"/>
        <v>0</v>
      </c>
      <c r="E109" s="84">
        <f t="shared" si="23"/>
        <v>0</v>
      </c>
      <c r="F109" s="84">
        <f t="shared" si="24"/>
        <v>31.706996368600176</v>
      </c>
      <c r="G109" s="15">
        <f t="shared" si="19"/>
        <v>24.393112437338523</v>
      </c>
      <c r="H109" s="15">
        <f t="shared" si="19"/>
        <v>26.831073747759074</v>
      </c>
      <c r="I109" s="15">
        <f t="shared" si="19"/>
        <v>29.269035058179625</v>
      </c>
      <c r="J109" s="15">
        <f t="shared" si="18"/>
        <v>31.706996368600176</v>
      </c>
      <c r="K109" s="15">
        <f t="shared" si="18"/>
        <v>34.144957679020727</v>
      </c>
      <c r="L109" s="15">
        <f t="shared" si="18"/>
        <v>36.582918989441275</v>
      </c>
      <c r="M109" s="15">
        <f t="shared" si="18"/>
        <v>39.02088029986183</v>
      </c>
      <c r="N109" s="15">
        <f t="shared" si="34"/>
        <v>33.169773154852507</v>
      </c>
      <c r="O109" s="84">
        <f t="shared" si="25"/>
        <v>0</v>
      </c>
      <c r="P109" s="84">
        <f t="shared" si="26"/>
        <v>3.6569419656308262</v>
      </c>
      <c r="Q109" s="84">
        <f t="shared" si="27"/>
        <v>3.6569419656308262</v>
      </c>
      <c r="R109" s="15">
        <f t="shared" si="28"/>
        <v>-7.3138839312616524</v>
      </c>
      <c r="S109" s="15">
        <f t="shared" si="29"/>
        <v>-4.8759226208411013</v>
      </c>
      <c r="T109" s="15">
        <f t="shared" si="30"/>
        <v>-2.4379613104205506</v>
      </c>
      <c r="U109" s="16">
        <v>0</v>
      </c>
      <c r="V109" s="15">
        <f t="shared" si="31"/>
        <v>2.4379613104205506</v>
      </c>
      <c r="W109" s="15">
        <f t="shared" si="32"/>
        <v>4.8759226208411013</v>
      </c>
      <c r="X109" s="15">
        <f t="shared" si="33"/>
        <v>7.3138839312616524</v>
      </c>
    </row>
    <row r="110" spans="1:29">
      <c r="A110" s="14">
        <f>'b（手動）計算用'!E112</f>
        <v>117</v>
      </c>
      <c r="B110" s="84">
        <f t="shared" si="20"/>
        <v>31.750049911514541</v>
      </c>
      <c r="C110" s="84">
        <f t="shared" si="21"/>
        <v>0</v>
      </c>
      <c r="D110" s="84">
        <f t="shared" si="22"/>
        <v>0</v>
      </c>
      <c r="E110" s="84">
        <f t="shared" si="23"/>
        <v>0</v>
      </c>
      <c r="F110" s="84">
        <f t="shared" si="24"/>
        <v>31.750049911514541</v>
      </c>
      <c r="G110" s="15">
        <f t="shared" si="19"/>
        <v>24.435855193321558</v>
      </c>
      <c r="H110" s="15">
        <f t="shared" si="19"/>
        <v>26.873920099385884</v>
      </c>
      <c r="I110" s="15">
        <f t="shared" si="19"/>
        <v>29.311985005450211</v>
      </c>
      <c r="J110" s="15">
        <f t="shared" si="18"/>
        <v>31.750049911514541</v>
      </c>
      <c r="K110" s="15">
        <f t="shared" si="18"/>
        <v>34.188114817578871</v>
      </c>
      <c r="L110" s="15">
        <f t="shared" si="18"/>
        <v>36.626179723643197</v>
      </c>
      <c r="M110" s="15">
        <f t="shared" si="18"/>
        <v>39.064244629707524</v>
      </c>
      <c r="N110" s="15">
        <f t="shared" si="34"/>
        <v>33.212888855153139</v>
      </c>
      <c r="O110" s="84">
        <f t="shared" si="25"/>
        <v>0</v>
      </c>
      <c r="P110" s="84">
        <f t="shared" si="26"/>
        <v>3.6570973590964924</v>
      </c>
      <c r="Q110" s="84">
        <f t="shared" si="27"/>
        <v>3.6570973590964924</v>
      </c>
      <c r="R110" s="15">
        <f t="shared" si="28"/>
        <v>-7.3141947181929847</v>
      </c>
      <c r="S110" s="15">
        <f t="shared" si="29"/>
        <v>-4.8761298121286565</v>
      </c>
      <c r="T110" s="15">
        <f t="shared" si="30"/>
        <v>-2.4380649060643282</v>
      </c>
      <c r="U110" s="16">
        <v>0</v>
      </c>
      <c r="V110" s="15">
        <f t="shared" si="31"/>
        <v>2.4380649060643282</v>
      </c>
      <c r="W110" s="15">
        <f t="shared" si="32"/>
        <v>4.8761298121286565</v>
      </c>
      <c r="X110" s="15">
        <f t="shared" si="33"/>
        <v>7.3141947181929847</v>
      </c>
    </row>
    <row r="111" spans="1:29">
      <c r="A111" s="14">
        <f>'b（手動）計算用'!E113</f>
        <v>118</v>
      </c>
      <c r="B111" s="84">
        <f t="shared" si="20"/>
        <v>31.791963528597442</v>
      </c>
      <c r="C111" s="84">
        <f t="shared" si="21"/>
        <v>0</v>
      </c>
      <c r="D111" s="84">
        <f t="shared" si="22"/>
        <v>0</v>
      </c>
      <c r="E111" s="84">
        <f t="shared" si="23"/>
        <v>0</v>
      </c>
      <c r="F111" s="84">
        <f t="shared" si="24"/>
        <v>31.791963528597442</v>
      </c>
      <c r="G111" s="15">
        <f t="shared" si="19"/>
        <v>24.47748081358537</v>
      </c>
      <c r="H111" s="15">
        <f t="shared" si="19"/>
        <v>26.915641718589395</v>
      </c>
      <c r="I111" s="15">
        <f t="shared" si="19"/>
        <v>29.353802623593417</v>
      </c>
      <c r="J111" s="15">
        <f t="shared" si="18"/>
        <v>31.791963528597442</v>
      </c>
      <c r="K111" s="15">
        <f t="shared" si="18"/>
        <v>34.230124433601468</v>
      </c>
      <c r="L111" s="15">
        <f t="shared" si="18"/>
        <v>36.668285338605493</v>
      </c>
      <c r="M111" s="15">
        <f t="shared" si="18"/>
        <v>39.106446243609511</v>
      </c>
      <c r="N111" s="15">
        <f t="shared" si="34"/>
        <v>33.254860071599857</v>
      </c>
      <c r="O111" s="84">
        <f t="shared" si="25"/>
        <v>0</v>
      </c>
      <c r="P111" s="84">
        <f t="shared" si="26"/>
        <v>3.6572413575060363</v>
      </c>
      <c r="Q111" s="84">
        <f t="shared" si="27"/>
        <v>3.6572413575060363</v>
      </c>
      <c r="R111" s="15">
        <f t="shared" si="28"/>
        <v>-7.3144827150120726</v>
      </c>
      <c r="S111" s="15">
        <f t="shared" si="29"/>
        <v>-4.8763218100080481</v>
      </c>
      <c r="T111" s="15">
        <f t="shared" si="30"/>
        <v>-2.438160905004024</v>
      </c>
      <c r="U111" s="16">
        <v>0</v>
      </c>
      <c r="V111" s="15">
        <f t="shared" si="31"/>
        <v>2.438160905004024</v>
      </c>
      <c r="W111" s="15">
        <f t="shared" si="32"/>
        <v>4.8763218100080481</v>
      </c>
      <c r="X111" s="15">
        <f t="shared" si="33"/>
        <v>7.3144827150120726</v>
      </c>
    </row>
    <row r="112" spans="1:29">
      <c r="A112" s="14">
        <f>'b（手動）計算用'!E114</f>
        <v>119</v>
      </c>
      <c r="B112" s="84">
        <f t="shared" si="20"/>
        <v>31.832767269913923</v>
      </c>
      <c r="C112" s="84">
        <f t="shared" si="21"/>
        <v>0</v>
      </c>
      <c r="D112" s="84">
        <f t="shared" si="22"/>
        <v>0</v>
      </c>
      <c r="E112" s="84">
        <f t="shared" si="23"/>
        <v>0</v>
      </c>
      <c r="F112" s="84">
        <f t="shared" si="24"/>
        <v>31.832767269913923</v>
      </c>
      <c r="G112" s="15">
        <f t="shared" si="19"/>
        <v>24.518017678591256</v>
      </c>
      <c r="H112" s="15">
        <f t="shared" si="19"/>
        <v>26.956267542365477</v>
      </c>
      <c r="I112" s="15">
        <f t="shared" si="19"/>
        <v>29.394517406139698</v>
      </c>
      <c r="J112" s="15">
        <f t="shared" si="18"/>
        <v>31.832767269913923</v>
      </c>
      <c r="K112" s="15">
        <f t="shared" si="18"/>
        <v>34.271017133688147</v>
      </c>
      <c r="L112" s="15">
        <f t="shared" si="18"/>
        <v>36.709266997462365</v>
      </c>
      <c r="M112" s="15">
        <f t="shared" si="18"/>
        <v>39.147516861236589</v>
      </c>
      <c r="N112" s="15">
        <f t="shared" si="34"/>
        <v>33.295717188178457</v>
      </c>
      <c r="O112" s="84">
        <f t="shared" si="25"/>
        <v>0</v>
      </c>
      <c r="P112" s="84">
        <f t="shared" si="26"/>
        <v>3.6573747956613341</v>
      </c>
      <c r="Q112" s="84">
        <f t="shared" si="27"/>
        <v>3.6573747956613341</v>
      </c>
      <c r="R112" s="15">
        <f t="shared" si="28"/>
        <v>-7.3147495913226681</v>
      </c>
      <c r="S112" s="15">
        <f t="shared" si="29"/>
        <v>-4.8764997275484454</v>
      </c>
      <c r="T112" s="15">
        <f t="shared" si="30"/>
        <v>-2.4382498637742227</v>
      </c>
      <c r="U112" s="16">
        <v>0</v>
      </c>
      <c r="V112" s="15">
        <f t="shared" si="31"/>
        <v>2.4382498637742227</v>
      </c>
      <c r="W112" s="15">
        <f t="shared" si="32"/>
        <v>4.8764997275484454</v>
      </c>
      <c r="X112" s="15">
        <f t="shared" si="33"/>
        <v>7.3147495913226681</v>
      </c>
    </row>
    <row r="113" spans="1:26">
      <c r="A113" s="14">
        <f>'b（手動）計算用'!E115</f>
        <v>120</v>
      </c>
      <c r="B113" s="84">
        <f t="shared" si="20"/>
        <v>31.872490400574215</v>
      </c>
      <c r="C113" s="84">
        <f t="shared" si="21"/>
        <v>0</v>
      </c>
      <c r="D113" s="84">
        <f t="shared" si="22"/>
        <v>0</v>
      </c>
      <c r="E113" s="84">
        <f t="shared" si="23"/>
        <v>0</v>
      </c>
      <c r="F113" s="84">
        <f t="shared" si="24"/>
        <v>31.872490400574215</v>
      </c>
      <c r="G113" s="15">
        <f t="shared" si="19"/>
        <v>24.55749350593425</v>
      </c>
      <c r="H113" s="15">
        <f t="shared" si="19"/>
        <v>26.995825804147572</v>
      </c>
      <c r="I113" s="15">
        <f t="shared" si="19"/>
        <v>29.434158102360893</v>
      </c>
      <c r="J113" s="15">
        <f t="shared" si="18"/>
        <v>31.872490400574215</v>
      </c>
      <c r="K113" s="15">
        <f t="shared" si="18"/>
        <v>34.31082269878754</v>
      </c>
      <c r="L113" s="15">
        <f t="shared" si="18"/>
        <v>36.749154997000858</v>
      </c>
      <c r="M113" s="15">
        <f t="shared" si="18"/>
        <v>39.187487295214183</v>
      </c>
      <c r="N113" s="15">
        <f t="shared" si="34"/>
        <v>33.335489779502211</v>
      </c>
      <c r="O113" s="84">
        <f t="shared" si="25"/>
        <v>0</v>
      </c>
      <c r="P113" s="84">
        <f t="shared" si="26"/>
        <v>3.6574984473199827</v>
      </c>
      <c r="Q113" s="84">
        <f t="shared" si="27"/>
        <v>3.6574984473199827</v>
      </c>
      <c r="R113" s="15">
        <f t="shared" si="28"/>
        <v>-7.3149968946399655</v>
      </c>
      <c r="S113" s="15">
        <f>-$Q113*4/3</f>
        <v>-4.876664596426644</v>
      </c>
      <c r="T113" s="15">
        <f t="shared" si="30"/>
        <v>-2.438332298213322</v>
      </c>
      <c r="U113" s="16">
        <v>0</v>
      </c>
      <c r="V113" s="15">
        <f t="shared" si="31"/>
        <v>2.438332298213322</v>
      </c>
      <c r="W113" s="15">
        <f t="shared" si="32"/>
        <v>4.876664596426644</v>
      </c>
      <c r="X113" s="15">
        <f t="shared" si="33"/>
        <v>7.3149968946399655</v>
      </c>
    </row>
    <row r="114" spans="1:26">
      <c r="A114" s="54"/>
      <c r="B114" s="161"/>
      <c r="C114" s="161"/>
      <c r="D114" s="161"/>
      <c r="E114" s="161"/>
      <c r="F114" s="161"/>
      <c r="G114" s="162"/>
      <c r="H114" s="162"/>
      <c r="I114" s="162"/>
      <c r="J114" s="162"/>
      <c r="K114" s="162"/>
      <c r="L114" s="162"/>
      <c r="M114" s="162"/>
      <c r="N114" s="162"/>
      <c r="O114" s="161"/>
      <c r="P114" s="161"/>
      <c r="Q114" s="161"/>
      <c r="R114" s="162"/>
      <c r="S114" s="162"/>
      <c r="T114" s="162"/>
      <c r="U114" s="163"/>
      <c r="V114" s="162"/>
      <c r="W114" s="162"/>
      <c r="X114" s="162"/>
    </row>
    <row r="115" spans="1:26">
      <c r="A115" s="14">
        <f>入力!C17</f>
        <v>10</v>
      </c>
      <c r="B115" s="84">
        <f t="shared" ref="B115" si="35">$AB$9*(1+ ($AB$11-1)*EXP(-$AB$12*(A115-$AB$10)) )^(1/(1-$AB$11))</f>
        <v>6.4959381617347329</v>
      </c>
      <c r="C115" s="84">
        <f t="shared" ref="C115" si="36">$AB$21/(1+ EXP(-$AB$23*(A115-$AB$22)) )</f>
        <v>0</v>
      </c>
      <c r="D115" s="84">
        <f t="shared" ref="D115" si="37">$AB$32*EXP(-EXP(-$AB$34*(A115-$AB$33)) )</f>
        <v>0</v>
      </c>
      <c r="E115" s="84">
        <f t="shared" ref="E115" si="38">$AB$43*(1-EXP(-$AB$45*(A115-$AB$44)))</f>
        <v>0</v>
      </c>
      <c r="F115" s="84">
        <f t="shared" ref="F115" si="39">IF($AA$2=1,B115,IF($AA$2=2,C115,IF($AA$2=3,D115,E115)))</f>
        <v>6.4959381617347329</v>
      </c>
      <c r="G115" s="15">
        <f t="shared" ref="G115:M115" si="40">$F115+R115</f>
        <v>3.9487406258152067</v>
      </c>
      <c r="H115" s="15">
        <f t="shared" si="40"/>
        <v>4.7978064711217154</v>
      </c>
      <c r="I115" s="15">
        <f t="shared" si="40"/>
        <v>5.6468723164282242</v>
      </c>
      <c r="J115" s="15">
        <f t="shared" si="40"/>
        <v>6.4959381617347329</v>
      </c>
      <c r="K115" s="15">
        <f t="shared" si="40"/>
        <v>7.3450040070412417</v>
      </c>
      <c r="L115" s="15">
        <f t="shared" si="40"/>
        <v>8.1940698523477504</v>
      </c>
      <c r="M115" s="15">
        <f t="shared" si="40"/>
        <v>9.0431356976542592</v>
      </c>
      <c r="N115" s="15">
        <f t="shared" ref="N115" si="41">J115-(($AA$1-2)*W115)</f>
        <v>7.005377668918638</v>
      </c>
      <c r="O115" s="84">
        <f t="shared" ref="O115" si="42">$AF$9*A115^$AF$10</f>
        <v>0</v>
      </c>
      <c r="P115" s="84">
        <f t="shared" ref="P115" si="43">$AF$19/(1+ EXP(-$AF$21*(A115-$AF$20)) )</f>
        <v>1.2735987679597631</v>
      </c>
      <c r="Q115" s="84">
        <f t="shared" ref="Q115" si="44">IF($AE$2=1,O115,P115)</f>
        <v>1.2735987679597631</v>
      </c>
      <c r="R115" s="15">
        <f t="shared" si="28"/>
        <v>-2.5471975359195262</v>
      </c>
      <c r="S115" s="15">
        <f t="shared" si="29"/>
        <v>-1.6981316906130175</v>
      </c>
      <c r="T115" s="15">
        <f t="shared" si="30"/>
        <v>-0.84906584530650875</v>
      </c>
      <c r="U115" s="16">
        <v>0</v>
      </c>
      <c r="V115" s="15">
        <f t="shared" si="31"/>
        <v>0.84906584530650875</v>
      </c>
      <c r="W115" s="15">
        <f t="shared" si="32"/>
        <v>1.6981316906130175</v>
      </c>
      <c r="X115" s="15">
        <f t="shared" si="33"/>
        <v>2.5471975359195262</v>
      </c>
      <c r="Y115" s="224" t="s">
        <v>206</v>
      </c>
      <c r="Z115" s="186">
        <f>入力!C19</f>
        <v>7</v>
      </c>
    </row>
    <row r="116" spans="1:26">
      <c r="A116" s="169"/>
      <c r="B116" s="232"/>
      <c r="C116" s="232"/>
      <c r="D116" s="232"/>
      <c r="E116" s="232"/>
      <c r="F116" s="232"/>
      <c r="G116" s="4"/>
      <c r="H116" s="4"/>
      <c r="I116" s="4"/>
      <c r="J116" s="4"/>
      <c r="K116" s="4"/>
      <c r="L116" s="4"/>
      <c r="M116" s="4"/>
      <c r="N116" s="4"/>
      <c r="O116" s="232"/>
      <c r="P116" s="232"/>
      <c r="Q116" s="232"/>
      <c r="R116" s="4"/>
      <c r="S116" s="4"/>
      <c r="T116" s="4"/>
      <c r="U116" s="233"/>
      <c r="V116" s="4"/>
      <c r="W116" s="4"/>
      <c r="X116" s="4"/>
      <c r="Y116" s="224" t="s">
        <v>207</v>
      </c>
      <c r="Z116" s="225">
        <f>Z115-J115</f>
        <v>0.50406183826526707</v>
      </c>
    </row>
    <row r="117" spans="1:26">
      <c r="A117" s="169"/>
      <c r="B117" s="232"/>
      <c r="C117" s="232"/>
      <c r="D117" s="232"/>
      <c r="E117" s="232"/>
      <c r="F117" s="232"/>
      <c r="G117" s="4"/>
      <c r="H117" s="4"/>
      <c r="I117" s="4"/>
      <c r="J117" s="4"/>
      <c r="K117" s="4"/>
      <c r="L117" s="4"/>
      <c r="M117" s="4"/>
      <c r="N117" s="4"/>
      <c r="O117" s="232"/>
      <c r="P117" s="232"/>
      <c r="Q117" s="232"/>
      <c r="R117" s="4"/>
      <c r="S117" s="4"/>
      <c r="T117" s="4"/>
      <c r="U117" s="233"/>
      <c r="V117" s="4"/>
      <c r="W117" s="4"/>
      <c r="X117" s="4"/>
      <c r="Y117" s="6" t="s">
        <v>208</v>
      </c>
      <c r="Z117" s="72">
        <f>W115</f>
        <v>1.6981316906130175</v>
      </c>
    </row>
    <row r="118" spans="1:26">
      <c r="A118" s="169"/>
      <c r="B118" s="232"/>
      <c r="C118" s="232"/>
      <c r="D118" s="232"/>
      <c r="E118" s="232"/>
      <c r="F118" s="232"/>
      <c r="G118" s="4"/>
      <c r="H118" s="4"/>
      <c r="I118" s="4"/>
      <c r="J118" s="4"/>
      <c r="K118" s="4"/>
      <c r="L118" s="4"/>
      <c r="M118" s="4"/>
      <c r="N118" s="4"/>
      <c r="O118" s="232"/>
      <c r="P118" s="232"/>
      <c r="Q118" s="232"/>
      <c r="R118" s="4"/>
      <c r="S118" s="4"/>
      <c r="T118" s="4"/>
      <c r="U118" s="233"/>
      <c r="V118" s="4"/>
      <c r="W118" s="4"/>
      <c r="X118" s="4"/>
      <c r="Z118" s="72">
        <f>Z116/Z117</f>
        <v>0.29683318499480044</v>
      </c>
    </row>
    <row r="119" spans="1:26">
      <c r="A119" s="169"/>
      <c r="B119" s="232"/>
      <c r="C119" s="232"/>
      <c r="D119" s="232"/>
      <c r="E119" s="232"/>
      <c r="F119" s="232"/>
      <c r="G119" s="4"/>
      <c r="H119" s="4"/>
      <c r="I119" s="4"/>
      <c r="J119" s="4"/>
      <c r="K119" s="4"/>
      <c r="L119" s="4"/>
      <c r="M119" s="4"/>
      <c r="N119" s="4"/>
      <c r="O119" s="232"/>
      <c r="P119" s="232"/>
      <c r="Q119" s="232"/>
      <c r="R119" s="4"/>
      <c r="S119" s="4"/>
      <c r="T119" s="4"/>
      <c r="U119" s="233"/>
      <c r="V119" s="4"/>
      <c r="W119" s="4"/>
      <c r="X119" s="4"/>
      <c r="Y119" s="224" t="s">
        <v>209</v>
      </c>
      <c r="Z119" s="72">
        <f>2-Z118</f>
        <v>1.7031668150051995</v>
      </c>
    </row>
    <row r="121" spans="1:26">
      <c r="A121" s="14">
        <f>'b（手動）計算用'!D5</f>
        <v>10</v>
      </c>
      <c r="B121" s="84">
        <f t="shared" ref="B121" si="45">$AB$9*(1+ ($AB$11-1)*EXP(-$AB$12*(A121-$AB$10)) )^(1/(1-$AB$11))</f>
        <v>6.4959381617347329</v>
      </c>
      <c r="C121" s="84">
        <f t="shared" ref="C121:C184" si="46">$AB$21/(1+ EXP(-$AB$23*(A121-$AB$22)) )</f>
        <v>0</v>
      </c>
      <c r="D121" s="84">
        <f t="shared" ref="D121:D184" si="47">$AB$32*EXP(-EXP(-$AB$34*(A121-$AB$33)) )</f>
        <v>0</v>
      </c>
      <c r="E121" s="84">
        <f t="shared" ref="E121:E184" si="48">$AB$43*(1-EXP(-$AB$45*(A121-$AB$44)))</f>
        <v>0</v>
      </c>
      <c r="F121" s="84">
        <f t="shared" ref="F121:F184" si="49">IF($AA$2=1,B121,IF($AA$2=2,C121,IF($AA$2=3,D121,E121)))</f>
        <v>6.4959381617347329</v>
      </c>
      <c r="G121" s="15">
        <f t="shared" ref="G121:M137" si="50">$F121+R121</f>
        <v>3.9487406258152067</v>
      </c>
      <c r="H121" s="15">
        <f t="shared" ref="H121:H136" si="51">$F121+S121</f>
        <v>4.7978064711217154</v>
      </c>
      <c r="I121" s="15">
        <f t="shared" ref="I121:I136" si="52">$F121+T121</f>
        <v>5.6468723164282242</v>
      </c>
      <c r="J121" s="15">
        <f t="shared" ref="J121:J136" si="53">$F121+U121</f>
        <v>6.4959381617347329</v>
      </c>
      <c r="K121" s="15">
        <f t="shared" ref="K121:K136" si="54">$F121+V121</f>
        <v>7.3450040070412417</v>
      </c>
      <c r="L121" s="15">
        <f t="shared" ref="L121:L136" si="55">$F121+W121</f>
        <v>8.1940698523477504</v>
      </c>
      <c r="M121" s="15">
        <f t="shared" ref="M121:M136" si="56">$F121+X121</f>
        <v>9.0431356976542592</v>
      </c>
      <c r="N121" s="15">
        <f t="shared" ref="N121:N122" si="57">J121-(($AA$1-2)*W121)</f>
        <v>7.005377668918638</v>
      </c>
      <c r="O121" s="84">
        <f>$AF$9*A121^$AF$10</f>
        <v>0</v>
      </c>
      <c r="P121" s="84">
        <f>$AF$19/(1+ EXP(-$AF$21*(A121-$AF$20)) )</f>
        <v>1.2735987679597631</v>
      </c>
      <c r="Q121" s="84">
        <f>IF($AE$2=1,O121,P121)</f>
        <v>1.2735987679597631</v>
      </c>
      <c r="R121" s="15">
        <f>-$Q121*2</f>
        <v>-2.5471975359195262</v>
      </c>
      <c r="S121" s="15">
        <f>-$Q121*4/3</f>
        <v>-1.6981316906130175</v>
      </c>
      <c r="T121" s="15">
        <f>-$Q121*2/3</f>
        <v>-0.84906584530650875</v>
      </c>
      <c r="U121" s="16">
        <v>0</v>
      </c>
      <c r="V121" s="15">
        <f>$Q121*2/3</f>
        <v>0.84906584530650875</v>
      </c>
      <c r="W121" s="15">
        <f>$Q121*4/3</f>
        <v>1.6981316906130175</v>
      </c>
      <c r="X121" s="15">
        <f>$Q121*2</f>
        <v>2.5471975359195262</v>
      </c>
    </row>
    <row r="122" spans="1:26">
      <c r="A122" s="14">
        <f>'b（手動）計算用'!D6</f>
        <v>11</v>
      </c>
      <c r="B122" s="84">
        <f>$AB$9*(1+ ($AB$11-1)*EXP(-$AB$12*(A122-$AB$10)) )^(1/(1-$AB$11))</f>
        <v>7.15157422493726</v>
      </c>
      <c r="C122" s="84">
        <f t="shared" si="46"/>
        <v>0</v>
      </c>
      <c r="D122" s="84">
        <f t="shared" si="47"/>
        <v>0</v>
      </c>
      <c r="E122" s="84">
        <f t="shared" si="48"/>
        <v>0</v>
      </c>
      <c r="F122" s="84">
        <f t="shared" si="49"/>
        <v>7.15157422493726</v>
      </c>
      <c r="G122" s="15">
        <f t="shared" si="50"/>
        <v>4.4763514661192279</v>
      </c>
      <c r="H122" s="15">
        <f t="shared" si="51"/>
        <v>5.3680923857252392</v>
      </c>
      <c r="I122" s="15">
        <f t="shared" si="52"/>
        <v>6.2598333053312496</v>
      </c>
      <c r="J122" s="15">
        <f t="shared" si="53"/>
        <v>7.15157422493726</v>
      </c>
      <c r="K122" s="15">
        <f t="shared" si="54"/>
        <v>8.0433151445432713</v>
      </c>
      <c r="L122" s="15">
        <f t="shared" si="55"/>
        <v>8.9350560641492809</v>
      </c>
      <c r="M122" s="15">
        <f t="shared" si="56"/>
        <v>9.8267969837552922</v>
      </c>
      <c r="N122" s="15">
        <f t="shared" si="57"/>
        <v>7.6866187767008665</v>
      </c>
      <c r="O122" s="84">
        <f t="shared" ref="O122:O185" si="58">$AF$9*A122^$AF$10</f>
        <v>0</v>
      </c>
      <c r="P122" s="84">
        <f t="shared" ref="P122:P185" si="59">$AF$19/(1+ EXP(-$AF$21*(A122-$AF$20)) )</f>
        <v>1.3376113794090159</v>
      </c>
      <c r="Q122" s="84">
        <f t="shared" ref="Q122:Q185" si="60">IF($AE$2=1,O122,P122)</f>
        <v>1.3376113794090159</v>
      </c>
      <c r="R122" s="15">
        <f t="shared" ref="R122:R185" si="61">-$Q122*2</f>
        <v>-2.6752227588180317</v>
      </c>
      <c r="S122" s="15">
        <f t="shared" ref="S122:S185" si="62">-$Q122*4/3</f>
        <v>-1.7834818392120211</v>
      </c>
      <c r="T122" s="15">
        <f t="shared" ref="T122:T185" si="63">-$Q122*2/3</f>
        <v>-0.89174091960601054</v>
      </c>
      <c r="U122" s="16">
        <v>0</v>
      </c>
      <c r="V122" s="15">
        <f t="shared" ref="V122:V185" si="64">$Q122*2/3</f>
        <v>0.89174091960601054</v>
      </c>
      <c r="W122" s="15">
        <f t="shared" ref="W122:W185" si="65">$Q122*4/3</f>
        <v>1.7834818392120211</v>
      </c>
      <c r="X122" s="15">
        <f t="shared" ref="X122:X185" si="66">$Q122*2</f>
        <v>2.6752227588180317</v>
      </c>
    </row>
    <row r="123" spans="1:26">
      <c r="A123" s="14">
        <f>'b（手動）計算用'!D7</f>
        <v>12</v>
      </c>
      <c r="B123" s="84">
        <f t="shared" ref="B123:B186" si="67">$AB$9*(1+ ($AB$11-1)*EXP(-$AB$12*(A123-$AB$10)) )^(1/(1-$AB$11))</f>
        <v>7.7948417887465959</v>
      </c>
      <c r="C123" s="84">
        <f t="shared" si="46"/>
        <v>0</v>
      </c>
      <c r="D123" s="84">
        <f t="shared" si="47"/>
        <v>0</v>
      </c>
      <c r="E123" s="84">
        <f t="shared" si="48"/>
        <v>0</v>
      </c>
      <c r="F123" s="84">
        <f t="shared" si="49"/>
        <v>7.7948417887465959</v>
      </c>
      <c r="G123" s="15">
        <f t="shared" si="50"/>
        <v>4.9889435133708844</v>
      </c>
      <c r="H123" s="15">
        <f t="shared" si="51"/>
        <v>5.9242429384961213</v>
      </c>
      <c r="I123" s="15">
        <f t="shared" si="52"/>
        <v>6.8595423636213582</v>
      </c>
      <c r="J123" s="15">
        <f t="shared" si="53"/>
        <v>7.7948417887465959</v>
      </c>
      <c r="K123" s="15">
        <f t="shared" si="54"/>
        <v>8.7301412138718337</v>
      </c>
      <c r="L123" s="15">
        <f t="shared" si="55"/>
        <v>9.6654406389970706</v>
      </c>
      <c r="M123" s="15">
        <f t="shared" si="56"/>
        <v>10.600740064122308</v>
      </c>
      <c r="N123" s="15">
        <f>J123-(($AA$1-2)*W123)</f>
        <v>8.3560214438217386</v>
      </c>
      <c r="O123" s="84">
        <f t="shared" si="58"/>
        <v>0</v>
      </c>
      <c r="P123" s="84">
        <f t="shared" si="59"/>
        <v>1.402949137687856</v>
      </c>
      <c r="Q123" s="84">
        <f t="shared" si="60"/>
        <v>1.402949137687856</v>
      </c>
      <c r="R123" s="15">
        <f t="shared" si="61"/>
        <v>-2.805898275375712</v>
      </c>
      <c r="S123" s="15">
        <f t="shared" si="62"/>
        <v>-1.8705988502504747</v>
      </c>
      <c r="T123" s="15">
        <f t="shared" si="63"/>
        <v>-0.93529942512523734</v>
      </c>
      <c r="U123" s="16">
        <v>0</v>
      </c>
      <c r="V123" s="15">
        <f t="shared" si="64"/>
        <v>0.93529942512523734</v>
      </c>
      <c r="W123" s="15">
        <f t="shared" si="65"/>
        <v>1.8705988502504747</v>
      </c>
      <c r="X123" s="15">
        <f t="shared" si="66"/>
        <v>2.805898275375712</v>
      </c>
    </row>
    <row r="124" spans="1:26">
      <c r="A124" s="14">
        <f>'b（手動）計算用'!D8</f>
        <v>13</v>
      </c>
      <c r="B124" s="84">
        <f t="shared" si="67"/>
        <v>8.4254731473419557</v>
      </c>
      <c r="C124" s="84">
        <f t="shared" si="46"/>
        <v>0</v>
      </c>
      <c r="D124" s="84">
        <f t="shared" si="47"/>
        <v>0</v>
      </c>
      <c r="E124" s="84">
        <f t="shared" si="48"/>
        <v>0</v>
      </c>
      <c r="F124" s="84">
        <f t="shared" si="49"/>
        <v>8.4254731473419557</v>
      </c>
      <c r="G124" s="15">
        <f t="shared" si="50"/>
        <v>5.4865567230917023</v>
      </c>
      <c r="H124" s="15">
        <f t="shared" si="51"/>
        <v>6.4661955311751198</v>
      </c>
      <c r="I124" s="15">
        <f t="shared" si="52"/>
        <v>7.4458343392585373</v>
      </c>
      <c r="J124" s="15">
        <f t="shared" si="53"/>
        <v>8.4254731473419557</v>
      </c>
      <c r="K124" s="15">
        <f t="shared" si="54"/>
        <v>9.4051119554253741</v>
      </c>
      <c r="L124" s="15">
        <f t="shared" si="55"/>
        <v>10.384750763508791</v>
      </c>
      <c r="M124" s="15">
        <f t="shared" si="56"/>
        <v>11.364389571592209</v>
      </c>
      <c r="N124" s="15">
        <f t="shared" ref="N124:N125" si="68">J124-(($AA$1-2)*W124)</f>
        <v>9.0132564321920068</v>
      </c>
      <c r="O124" s="84">
        <f t="shared" si="58"/>
        <v>0</v>
      </c>
      <c r="P124" s="84">
        <f t="shared" si="59"/>
        <v>1.469458212125127</v>
      </c>
      <c r="Q124" s="84">
        <f t="shared" si="60"/>
        <v>1.469458212125127</v>
      </c>
      <c r="R124" s="15">
        <f t="shared" si="61"/>
        <v>-2.9389164242502539</v>
      </c>
      <c r="S124" s="15">
        <f t="shared" si="62"/>
        <v>-1.9592776161668359</v>
      </c>
      <c r="T124" s="15">
        <f t="shared" si="63"/>
        <v>-0.97963880808341797</v>
      </c>
      <c r="U124" s="16">
        <v>0</v>
      </c>
      <c r="V124" s="15">
        <f t="shared" si="64"/>
        <v>0.97963880808341797</v>
      </c>
      <c r="W124" s="15">
        <f t="shared" si="65"/>
        <v>1.9592776161668359</v>
      </c>
      <c r="X124" s="15">
        <f t="shared" si="66"/>
        <v>2.9389164242502539</v>
      </c>
    </row>
    <row r="125" spans="1:26">
      <c r="A125" s="14">
        <f>'b（手動）計算用'!D9</f>
        <v>14</v>
      </c>
      <c r="B125" s="84">
        <f t="shared" si="67"/>
        <v>9.0433054434027085</v>
      </c>
      <c r="C125" s="84">
        <f t="shared" si="46"/>
        <v>0</v>
      </c>
      <c r="D125" s="84">
        <f t="shared" si="47"/>
        <v>0</v>
      </c>
      <c r="E125" s="84">
        <f t="shared" si="48"/>
        <v>0</v>
      </c>
      <c r="F125" s="84">
        <f t="shared" si="49"/>
        <v>9.0433054434027085</v>
      </c>
      <c r="G125" s="15">
        <f t="shared" si="50"/>
        <v>5.969360842690147</v>
      </c>
      <c r="H125" s="15">
        <f t="shared" si="51"/>
        <v>6.9940090429276678</v>
      </c>
      <c r="I125" s="15">
        <f t="shared" si="52"/>
        <v>8.0186572431651886</v>
      </c>
      <c r="J125" s="15">
        <f t="shared" si="53"/>
        <v>9.0433054434027085</v>
      </c>
      <c r="K125" s="15">
        <f t="shared" si="54"/>
        <v>10.067953643640228</v>
      </c>
      <c r="L125" s="15">
        <f t="shared" si="55"/>
        <v>11.092601843877748</v>
      </c>
      <c r="M125" s="15">
        <f t="shared" si="56"/>
        <v>12.11725004411527</v>
      </c>
      <c r="N125" s="15">
        <f t="shared" si="68"/>
        <v>9.6580943635452208</v>
      </c>
      <c r="O125" s="84">
        <f t="shared" si="58"/>
        <v>0</v>
      </c>
      <c r="P125" s="84">
        <f t="shared" si="59"/>
        <v>1.5369723003562805</v>
      </c>
      <c r="Q125" s="84">
        <f t="shared" si="60"/>
        <v>1.5369723003562805</v>
      </c>
      <c r="R125" s="15">
        <f t="shared" si="61"/>
        <v>-3.073944600712561</v>
      </c>
      <c r="S125" s="15">
        <f t="shared" si="62"/>
        <v>-2.0492964004750407</v>
      </c>
      <c r="T125" s="15">
        <f t="shared" si="63"/>
        <v>-1.0246482002375203</v>
      </c>
      <c r="U125" s="16">
        <v>0</v>
      </c>
      <c r="V125" s="15">
        <f t="shared" si="64"/>
        <v>1.0246482002375203</v>
      </c>
      <c r="W125" s="15">
        <f t="shared" si="65"/>
        <v>2.0492964004750407</v>
      </c>
      <c r="X125" s="15">
        <f t="shared" si="66"/>
        <v>3.073944600712561</v>
      </c>
    </row>
    <row r="126" spans="1:26">
      <c r="A126" s="14">
        <f>'b（手動）計算用'!D10</f>
        <v>15</v>
      </c>
      <c r="B126" s="84">
        <f t="shared" si="67"/>
        <v>9.6482565384645245</v>
      </c>
      <c r="C126" s="84">
        <f t="shared" si="46"/>
        <v>0</v>
      </c>
      <c r="D126" s="84">
        <f t="shared" si="47"/>
        <v>0</v>
      </c>
      <c r="E126" s="84">
        <f t="shared" si="48"/>
        <v>0</v>
      </c>
      <c r="F126" s="84">
        <f t="shared" si="49"/>
        <v>9.6482565384645245</v>
      </c>
      <c r="G126" s="15">
        <f t="shared" si="50"/>
        <v>6.4376282843136421</v>
      </c>
      <c r="H126" s="15">
        <f t="shared" si="51"/>
        <v>7.5078377023639362</v>
      </c>
      <c r="I126" s="15">
        <f t="shared" si="52"/>
        <v>8.5780471204142295</v>
      </c>
      <c r="J126" s="15">
        <f t="shared" si="53"/>
        <v>9.6482565384645245</v>
      </c>
      <c r="K126" s="15">
        <f t="shared" si="54"/>
        <v>10.718465956514819</v>
      </c>
      <c r="L126" s="15">
        <f t="shared" si="55"/>
        <v>11.788675374565113</v>
      </c>
      <c r="M126" s="15">
        <f t="shared" si="56"/>
        <v>12.858884792615406</v>
      </c>
      <c r="N126" s="15">
        <f>J126-(($AA$1-2)*W126)</f>
        <v>10.290382189294702</v>
      </c>
      <c r="O126" s="84">
        <f t="shared" si="58"/>
        <v>0</v>
      </c>
      <c r="P126" s="84">
        <f t="shared" si="59"/>
        <v>1.6053141270754412</v>
      </c>
      <c r="Q126" s="84">
        <f t="shared" si="60"/>
        <v>1.6053141270754412</v>
      </c>
      <c r="R126" s="15">
        <f t="shared" si="61"/>
        <v>-3.2106282541508824</v>
      </c>
      <c r="S126" s="15">
        <f t="shared" si="62"/>
        <v>-2.1404188361005883</v>
      </c>
      <c r="T126" s="15">
        <f t="shared" si="63"/>
        <v>-1.0702094180502941</v>
      </c>
      <c r="U126" s="16">
        <v>0</v>
      </c>
      <c r="V126" s="15">
        <f t="shared" si="64"/>
        <v>1.0702094180502941</v>
      </c>
      <c r="W126" s="15">
        <f t="shared" si="65"/>
        <v>2.1404188361005883</v>
      </c>
      <c r="X126" s="15">
        <f t="shared" si="66"/>
        <v>3.2106282541508824</v>
      </c>
    </row>
    <row r="127" spans="1:26">
      <c r="A127" s="14">
        <f>'b（手動）計算用'!D11</f>
        <v>16</v>
      </c>
      <c r="B127" s="84">
        <f t="shared" si="67"/>
        <v>10.240307322728349</v>
      </c>
      <c r="C127" s="84">
        <f t="shared" si="46"/>
        <v>0</v>
      </c>
      <c r="D127" s="84">
        <f t="shared" si="47"/>
        <v>0</v>
      </c>
      <c r="E127" s="84">
        <f t="shared" si="48"/>
        <v>0</v>
      </c>
      <c r="F127" s="84">
        <f t="shared" si="49"/>
        <v>10.240307322728349</v>
      </c>
      <c r="G127" s="15">
        <f t="shared" si="50"/>
        <v>6.8917129408211579</v>
      </c>
      <c r="H127" s="15">
        <f t="shared" si="51"/>
        <v>8.0079110681235548</v>
      </c>
      <c r="I127" s="15">
        <f t="shared" si="52"/>
        <v>9.1241091954259517</v>
      </c>
      <c r="J127" s="15">
        <f t="shared" si="53"/>
        <v>10.240307322728349</v>
      </c>
      <c r="K127" s="15">
        <f t="shared" si="54"/>
        <v>11.356505450030745</v>
      </c>
      <c r="L127" s="15">
        <f t="shared" si="55"/>
        <v>12.472703577333142</v>
      </c>
      <c r="M127" s="15">
        <f t="shared" si="56"/>
        <v>13.588901704635539</v>
      </c>
      <c r="N127" s="15">
        <f t="shared" ref="N127:N190" si="69">J127-(($AA$1-2)*W127)</f>
        <v>10.910026199109787</v>
      </c>
      <c r="O127" s="84">
        <f t="shared" si="58"/>
        <v>0</v>
      </c>
      <c r="P127" s="84">
        <f t="shared" si="59"/>
        <v>1.6742971909535951</v>
      </c>
      <c r="Q127" s="84">
        <f t="shared" si="60"/>
        <v>1.6742971909535951</v>
      </c>
      <c r="R127" s="15">
        <f t="shared" si="61"/>
        <v>-3.3485943819071902</v>
      </c>
      <c r="S127" s="15">
        <f t="shared" si="62"/>
        <v>-2.2323962546047933</v>
      </c>
      <c r="T127" s="15">
        <f t="shared" si="63"/>
        <v>-1.1161981273023966</v>
      </c>
      <c r="U127" s="16">
        <v>0</v>
      </c>
      <c r="V127" s="15">
        <f t="shared" si="64"/>
        <v>1.1161981273023966</v>
      </c>
      <c r="W127" s="15">
        <f t="shared" si="65"/>
        <v>2.2323962546047933</v>
      </c>
      <c r="X127" s="15">
        <f t="shared" si="66"/>
        <v>3.3485943819071902</v>
      </c>
    </row>
    <row r="128" spans="1:26">
      <c r="A128" s="14">
        <f>'b（手動）計算用'!D12</f>
        <v>17</v>
      </c>
      <c r="B128" s="84">
        <f t="shared" si="67"/>
        <v>10.819488440939381</v>
      </c>
      <c r="C128" s="84">
        <f t="shared" si="46"/>
        <v>0</v>
      </c>
      <c r="D128" s="84">
        <f t="shared" si="47"/>
        <v>0</v>
      </c>
      <c r="E128" s="84">
        <f t="shared" si="48"/>
        <v>0</v>
      </c>
      <c r="F128" s="84">
        <f t="shared" si="49"/>
        <v>10.819488440939381</v>
      </c>
      <c r="G128" s="15">
        <f t="shared" si="50"/>
        <v>7.3320329883505675</v>
      </c>
      <c r="H128" s="15">
        <f t="shared" si="51"/>
        <v>8.4945181392135058</v>
      </c>
      <c r="I128" s="15">
        <f t="shared" si="52"/>
        <v>9.6570032900764424</v>
      </c>
      <c r="J128" s="15">
        <f t="shared" si="53"/>
        <v>10.819488440939381</v>
      </c>
      <c r="K128" s="15">
        <f t="shared" si="54"/>
        <v>11.981973591802319</v>
      </c>
      <c r="L128" s="15">
        <f t="shared" si="55"/>
        <v>13.144458742665256</v>
      </c>
      <c r="M128" s="15">
        <f t="shared" si="56"/>
        <v>14.306943893528194</v>
      </c>
      <c r="N128" s="15">
        <f t="shared" si="69"/>
        <v>11.516979531457144</v>
      </c>
      <c r="O128" s="84">
        <f t="shared" si="58"/>
        <v>0</v>
      </c>
      <c r="P128" s="84">
        <f t="shared" si="59"/>
        <v>1.7437277262944064</v>
      </c>
      <c r="Q128" s="84">
        <f t="shared" si="60"/>
        <v>1.7437277262944064</v>
      </c>
      <c r="R128" s="15">
        <f t="shared" si="61"/>
        <v>-3.4874554525888128</v>
      </c>
      <c r="S128" s="15">
        <f t="shared" si="62"/>
        <v>-2.3249703017258754</v>
      </c>
      <c r="T128" s="15">
        <f t="shared" si="63"/>
        <v>-1.1624851508629377</v>
      </c>
      <c r="U128" s="16">
        <v>0</v>
      </c>
      <c r="V128" s="15">
        <f t="shared" si="64"/>
        <v>1.1624851508629377</v>
      </c>
      <c r="W128" s="15">
        <f t="shared" si="65"/>
        <v>2.3249703017258754</v>
      </c>
      <c r="X128" s="15">
        <f t="shared" si="66"/>
        <v>3.4874554525888128</v>
      </c>
    </row>
    <row r="129" spans="1:24">
      <c r="A129" s="14">
        <f>'b（手動）計算用'!D13</f>
        <v>18</v>
      </c>
      <c r="B129" s="84">
        <f t="shared" si="67"/>
        <v>11.385870134421349</v>
      </c>
      <c r="C129" s="84">
        <f t="shared" si="46"/>
        <v>0</v>
      </c>
      <c r="D129" s="84">
        <f t="shared" si="47"/>
        <v>0</v>
      </c>
      <c r="E129" s="84">
        <f t="shared" si="48"/>
        <v>0</v>
      </c>
      <c r="F129" s="84">
        <f t="shared" si="49"/>
        <v>11.385870134421349</v>
      </c>
      <c r="G129" s="15">
        <f t="shared" si="50"/>
        <v>7.75905645924942</v>
      </c>
      <c r="H129" s="15">
        <f t="shared" si="51"/>
        <v>8.967994350973397</v>
      </c>
      <c r="I129" s="15">
        <f t="shared" si="52"/>
        <v>10.176932242697372</v>
      </c>
      <c r="J129" s="15">
        <f t="shared" si="53"/>
        <v>11.385870134421349</v>
      </c>
      <c r="K129" s="15">
        <f t="shared" si="54"/>
        <v>12.594808026145326</v>
      </c>
      <c r="L129" s="15">
        <f t="shared" si="55"/>
        <v>13.803745917869302</v>
      </c>
      <c r="M129" s="15">
        <f t="shared" si="56"/>
        <v>15.012683809593279</v>
      </c>
      <c r="N129" s="15">
        <f t="shared" si="69"/>
        <v>12.111232869455735</v>
      </c>
      <c r="O129" s="84">
        <f t="shared" si="58"/>
        <v>0</v>
      </c>
      <c r="P129" s="84">
        <f t="shared" si="59"/>
        <v>1.8134068375859644</v>
      </c>
      <c r="Q129" s="84">
        <f t="shared" si="60"/>
        <v>1.8134068375859644</v>
      </c>
      <c r="R129" s="15">
        <f t="shared" si="61"/>
        <v>-3.6268136751719289</v>
      </c>
      <c r="S129" s="15">
        <f t="shared" si="62"/>
        <v>-2.4178757834479527</v>
      </c>
      <c r="T129" s="15">
        <f t="shared" si="63"/>
        <v>-1.2089378917239764</v>
      </c>
      <c r="U129" s="16">
        <v>0</v>
      </c>
      <c r="V129" s="15">
        <f t="shared" si="64"/>
        <v>1.2089378917239764</v>
      </c>
      <c r="W129" s="15">
        <f t="shared" si="65"/>
        <v>2.4178757834479527</v>
      </c>
      <c r="X129" s="15">
        <f t="shared" si="66"/>
        <v>3.6268136751719289</v>
      </c>
    </row>
    <row r="130" spans="1:24">
      <c r="A130" s="14">
        <f>'b（手動）計算用'!D14</f>
        <v>19</v>
      </c>
      <c r="B130" s="84">
        <f t="shared" si="67"/>
        <v>11.939554336523765</v>
      </c>
      <c r="C130" s="84">
        <f t="shared" si="46"/>
        <v>0</v>
      </c>
      <c r="D130" s="84">
        <f t="shared" si="47"/>
        <v>0</v>
      </c>
      <c r="E130" s="84">
        <f t="shared" si="48"/>
        <v>0</v>
      </c>
      <c r="F130" s="84">
        <f t="shared" si="49"/>
        <v>11.939554336523765</v>
      </c>
      <c r="G130" s="15">
        <f t="shared" si="50"/>
        <v>8.1732888202555127</v>
      </c>
      <c r="H130" s="15">
        <f t="shared" si="51"/>
        <v>9.4287106590115961</v>
      </c>
      <c r="I130" s="15">
        <f t="shared" si="52"/>
        <v>10.684132497767681</v>
      </c>
      <c r="J130" s="15">
        <f t="shared" si="53"/>
        <v>11.939554336523765</v>
      </c>
      <c r="K130" s="15">
        <f t="shared" si="54"/>
        <v>13.194976175279848</v>
      </c>
      <c r="L130" s="15">
        <f t="shared" si="55"/>
        <v>14.450398014035933</v>
      </c>
      <c r="M130" s="15">
        <f t="shared" si="56"/>
        <v>15.705819852792017</v>
      </c>
      <c r="N130" s="15">
        <f t="shared" si="69"/>
        <v>12.692807439777415</v>
      </c>
      <c r="O130" s="84">
        <f t="shared" si="58"/>
        <v>0</v>
      </c>
      <c r="P130" s="84">
        <f t="shared" si="59"/>
        <v>1.883132758134126</v>
      </c>
      <c r="Q130" s="84">
        <f t="shared" si="60"/>
        <v>1.883132758134126</v>
      </c>
      <c r="R130" s="15">
        <f t="shared" si="61"/>
        <v>-3.7662655162682519</v>
      </c>
      <c r="S130" s="15">
        <f t="shared" si="62"/>
        <v>-2.5108436775121681</v>
      </c>
      <c r="T130" s="15">
        <f t="shared" si="63"/>
        <v>-1.255421838756084</v>
      </c>
      <c r="U130" s="16">
        <v>0</v>
      </c>
      <c r="V130" s="15">
        <f t="shared" si="64"/>
        <v>1.255421838756084</v>
      </c>
      <c r="W130" s="15">
        <f t="shared" si="65"/>
        <v>2.5108436775121681</v>
      </c>
      <c r="X130" s="15">
        <f t="shared" si="66"/>
        <v>3.7662655162682519</v>
      </c>
    </row>
    <row r="131" spans="1:24">
      <c r="A131" s="14">
        <f>'b（手動）計算用'!D15</f>
        <v>20</v>
      </c>
      <c r="B131" s="84">
        <f t="shared" si="67"/>
        <v>12.480668432585109</v>
      </c>
      <c r="C131" s="84">
        <f t="shared" si="46"/>
        <v>0</v>
      </c>
      <c r="D131" s="84">
        <f t="shared" si="47"/>
        <v>0</v>
      </c>
      <c r="E131" s="84">
        <f t="shared" si="48"/>
        <v>0</v>
      </c>
      <c r="F131" s="84">
        <f t="shared" si="49"/>
        <v>12.480668432585109</v>
      </c>
      <c r="G131" s="15">
        <f t="shared" si="50"/>
        <v>8.5752620748755586</v>
      </c>
      <c r="H131" s="15">
        <f t="shared" si="51"/>
        <v>9.8770641941120765</v>
      </c>
      <c r="I131" s="15">
        <f t="shared" si="52"/>
        <v>11.178866313348593</v>
      </c>
      <c r="J131" s="15">
        <f t="shared" si="53"/>
        <v>12.480668432585109</v>
      </c>
      <c r="K131" s="15">
        <f t="shared" si="54"/>
        <v>13.782470551821625</v>
      </c>
      <c r="L131" s="15">
        <f t="shared" si="55"/>
        <v>15.084272671058141</v>
      </c>
      <c r="M131" s="15">
        <f t="shared" si="56"/>
        <v>16.386074790294657</v>
      </c>
      <c r="N131" s="15">
        <f t="shared" si="69"/>
        <v>13.261749704127018</v>
      </c>
      <c r="O131" s="84">
        <f t="shared" si="58"/>
        <v>0</v>
      </c>
      <c r="P131" s="84">
        <f t="shared" si="59"/>
        <v>1.9527031788547748</v>
      </c>
      <c r="Q131" s="84">
        <f t="shared" si="60"/>
        <v>1.9527031788547748</v>
      </c>
      <c r="R131" s="15">
        <f t="shared" si="61"/>
        <v>-3.9054063577095497</v>
      </c>
      <c r="S131" s="15">
        <f t="shared" si="62"/>
        <v>-2.6036042384730331</v>
      </c>
      <c r="T131" s="15">
        <f t="shared" si="63"/>
        <v>-1.3018021192365166</v>
      </c>
      <c r="U131" s="16">
        <v>0</v>
      </c>
      <c r="V131" s="15">
        <f t="shared" si="64"/>
        <v>1.3018021192365166</v>
      </c>
      <c r="W131" s="15">
        <f t="shared" si="65"/>
        <v>2.6036042384730331</v>
      </c>
      <c r="X131" s="15">
        <f t="shared" si="66"/>
        <v>3.9054063577095497</v>
      </c>
    </row>
    <row r="132" spans="1:24">
      <c r="A132" s="14">
        <f>'b（手動）計算用'!D16</f>
        <v>21</v>
      </c>
      <c r="B132" s="84">
        <f t="shared" si="67"/>
        <v>13.009360272475472</v>
      </c>
      <c r="C132" s="84">
        <f t="shared" si="46"/>
        <v>0</v>
      </c>
      <c r="D132" s="84">
        <f t="shared" si="47"/>
        <v>0</v>
      </c>
      <c r="E132" s="84">
        <f t="shared" si="48"/>
        <v>0</v>
      </c>
      <c r="F132" s="84">
        <f t="shared" si="49"/>
        <v>13.009360272475472</v>
      </c>
      <c r="G132" s="15">
        <f t="shared" si="50"/>
        <v>8.9655250917224638</v>
      </c>
      <c r="H132" s="15">
        <f t="shared" si="51"/>
        <v>10.313470151973467</v>
      </c>
      <c r="I132" s="15">
        <f t="shared" si="52"/>
        <v>11.661415212224469</v>
      </c>
      <c r="J132" s="15">
        <f t="shared" si="53"/>
        <v>13.009360272475472</v>
      </c>
      <c r="K132" s="15">
        <f t="shared" si="54"/>
        <v>14.357305332726476</v>
      </c>
      <c r="L132" s="15">
        <f t="shared" si="55"/>
        <v>15.705250392977478</v>
      </c>
      <c r="M132" s="15">
        <f t="shared" si="56"/>
        <v>17.053195453228483</v>
      </c>
      <c r="N132" s="15">
        <f t="shared" si="69"/>
        <v>13.818127308626075</v>
      </c>
      <c r="O132" s="84">
        <f t="shared" si="58"/>
        <v>0</v>
      </c>
      <c r="P132" s="84">
        <f t="shared" si="59"/>
        <v>2.0219175903765043</v>
      </c>
      <c r="Q132" s="84">
        <f t="shared" si="60"/>
        <v>2.0219175903765043</v>
      </c>
      <c r="R132" s="15">
        <f t="shared" si="61"/>
        <v>-4.0438351807530086</v>
      </c>
      <c r="S132" s="15">
        <f t="shared" si="62"/>
        <v>-2.6958901205020056</v>
      </c>
      <c r="T132" s="15">
        <f t="shared" si="63"/>
        <v>-1.3479450602510028</v>
      </c>
      <c r="U132" s="16">
        <v>0</v>
      </c>
      <c r="V132" s="15">
        <f t="shared" si="64"/>
        <v>1.3479450602510028</v>
      </c>
      <c r="W132" s="15">
        <f t="shared" si="65"/>
        <v>2.6958901205020056</v>
      </c>
      <c r="X132" s="15">
        <f t="shared" si="66"/>
        <v>4.0438351807530086</v>
      </c>
    </row>
    <row r="133" spans="1:24">
      <c r="A133" s="14">
        <f>'b（手動）計算用'!D17</f>
        <v>22</v>
      </c>
      <c r="B133" s="84">
        <f t="shared" si="67"/>
        <v>13.525794141291909</v>
      </c>
      <c r="C133" s="84">
        <f t="shared" si="46"/>
        <v>0</v>
      </c>
      <c r="D133" s="84">
        <f t="shared" si="47"/>
        <v>0</v>
      </c>
      <c r="E133" s="84">
        <f t="shared" si="48"/>
        <v>0</v>
      </c>
      <c r="F133" s="84">
        <f t="shared" si="49"/>
        <v>13.525794141291909</v>
      </c>
      <c r="G133" s="15">
        <f t="shared" si="50"/>
        <v>9.3446349791976289</v>
      </c>
      <c r="H133" s="15">
        <f t="shared" si="51"/>
        <v>10.738354699895723</v>
      </c>
      <c r="I133" s="15">
        <f t="shared" si="52"/>
        <v>12.132074420593815</v>
      </c>
      <c r="J133" s="15">
        <f t="shared" si="53"/>
        <v>13.525794141291909</v>
      </c>
      <c r="K133" s="15">
        <f t="shared" si="54"/>
        <v>14.919513861990003</v>
      </c>
      <c r="L133" s="15">
        <f t="shared" si="55"/>
        <v>16.313233582688095</v>
      </c>
      <c r="M133" s="15">
        <f t="shared" si="56"/>
        <v>17.706953303386189</v>
      </c>
      <c r="N133" s="15">
        <f t="shared" si="69"/>
        <v>14.362025973710765</v>
      </c>
      <c r="O133" s="84">
        <f t="shared" si="58"/>
        <v>0</v>
      </c>
      <c r="P133" s="84">
        <f t="shared" si="59"/>
        <v>2.0905795810471401</v>
      </c>
      <c r="Q133" s="84">
        <f t="shared" si="60"/>
        <v>2.0905795810471401</v>
      </c>
      <c r="R133" s="15">
        <f t="shared" si="61"/>
        <v>-4.1811591620942803</v>
      </c>
      <c r="S133" s="15">
        <f t="shared" si="62"/>
        <v>-2.7874394413961867</v>
      </c>
      <c r="T133" s="15">
        <f t="shared" si="63"/>
        <v>-1.3937197206980934</v>
      </c>
      <c r="U133" s="16">
        <v>0</v>
      </c>
      <c r="V133" s="15">
        <f t="shared" si="64"/>
        <v>1.3937197206980934</v>
      </c>
      <c r="W133" s="15">
        <f t="shared" si="65"/>
        <v>2.7874394413961867</v>
      </c>
      <c r="X133" s="15">
        <f t="shared" si="66"/>
        <v>4.1811591620942803</v>
      </c>
    </row>
    <row r="134" spans="1:24">
      <c r="A134" s="14">
        <f>'b（手動）計算用'!D18</f>
        <v>23</v>
      </c>
      <c r="B134" s="84">
        <f t="shared" si="67"/>
        <v>14.030147473708643</v>
      </c>
      <c r="C134" s="84">
        <f t="shared" si="46"/>
        <v>0</v>
      </c>
      <c r="D134" s="84">
        <f t="shared" si="47"/>
        <v>0</v>
      </c>
      <c r="E134" s="84">
        <f t="shared" si="48"/>
        <v>0</v>
      </c>
      <c r="F134" s="84">
        <f t="shared" si="49"/>
        <v>14.030147473708643</v>
      </c>
      <c r="G134" s="15">
        <f t="shared" si="50"/>
        <v>9.7131494031431558</v>
      </c>
      <c r="H134" s="15">
        <f t="shared" si="51"/>
        <v>11.152148759998319</v>
      </c>
      <c r="I134" s="15">
        <f t="shared" si="52"/>
        <v>12.59114811685348</v>
      </c>
      <c r="J134" s="15">
        <f t="shared" si="53"/>
        <v>14.030147473708643</v>
      </c>
      <c r="K134" s="15">
        <f t="shared" si="54"/>
        <v>15.469146830563806</v>
      </c>
      <c r="L134" s="15">
        <f t="shared" si="55"/>
        <v>16.908146187418968</v>
      </c>
      <c r="M134" s="15">
        <f t="shared" si="56"/>
        <v>18.347145544274131</v>
      </c>
      <c r="N134" s="15">
        <f t="shared" si="69"/>
        <v>14.893547087821741</v>
      </c>
      <c r="O134" s="84">
        <f t="shared" si="58"/>
        <v>0</v>
      </c>
      <c r="P134" s="84">
        <f t="shared" si="59"/>
        <v>2.1584990352827438</v>
      </c>
      <c r="Q134" s="84">
        <f t="shared" si="60"/>
        <v>2.1584990352827438</v>
      </c>
      <c r="R134" s="15">
        <f t="shared" si="61"/>
        <v>-4.3169980705654876</v>
      </c>
      <c r="S134" s="15">
        <f t="shared" si="62"/>
        <v>-2.8779987137103249</v>
      </c>
      <c r="T134" s="15">
        <f t="shared" si="63"/>
        <v>-1.4389993568551624</v>
      </c>
      <c r="U134" s="16">
        <v>0</v>
      </c>
      <c r="V134" s="15">
        <f t="shared" si="64"/>
        <v>1.4389993568551624</v>
      </c>
      <c r="W134" s="15">
        <f t="shared" si="65"/>
        <v>2.8779987137103249</v>
      </c>
      <c r="X134" s="15">
        <f t="shared" si="66"/>
        <v>4.3169980705654876</v>
      </c>
    </row>
    <row r="135" spans="1:24">
      <c r="A135" s="14">
        <f>'b（手動）計算用'!D19</f>
        <v>24</v>
      </c>
      <c r="B135" s="84">
        <f t="shared" si="67"/>
        <v>14.522608153025446</v>
      </c>
      <c r="C135" s="84">
        <f t="shared" si="46"/>
        <v>0</v>
      </c>
      <c r="D135" s="84">
        <f t="shared" si="47"/>
        <v>0</v>
      </c>
      <c r="E135" s="84">
        <f t="shared" si="48"/>
        <v>0</v>
      </c>
      <c r="F135" s="84">
        <f t="shared" si="49"/>
        <v>14.522608153025446</v>
      </c>
      <c r="G135" s="15">
        <f t="shared" si="50"/>
        <v>10.071619791367549</v>
      </c>
      <c r="H135" s="15">
        <f t="shared" si="51"/>
        <v>11.555282578586848</v>
      </c>
      <c r="I135" s="15">
        <f t="shared" si="52"/>
        <v>13.038945365806146</v>
      </c>
      <c r="J135" s="15">
        <f t="shared" si="53"/>
        <v>14.522608153025446</v>
      </c>
      <c r="K135" s="15">
        <f t="shared" si="54"/>
        <v>16.006270940244747</v>
      </c>
      <c r="L135" s="15">
        <f t="shared" si="55"/>
        <v>17.489933727464045</v>
      </c>
      <c r="M135" s="15">
        <f t="shared" si="56"/>
        <v>18.973596514683344</v>
      </c>
      <c r="N135" s="15">
        <f t="shared" si="69"/>
        <v>15.412805825357026</v>
      </c>
      <c r="O135" s="84">
        <f t="shared" si="58"/>
        <v>0</v>
      </c>
      <c r="P135" s="84">
        <f t="shared" si="59"/>
        <v>2.225494180828949</v>
      </c>
      <c r="Q135" s="84">
        <f t="shared" si="60"/>
        <v>2.225494180828949</v>
      </c>
      <c r="R135" s="15">
        <f t="shared" si="61"/>
        <v>-4.450988361657898</v>
      </c>
      <c r="S135" s="15">
        <f t="shared" si="62"/>
        <v>-2.9673255744385987</v>
      </c>
      <c r="T135" s="15">
        <f t="shared" si="63"/>
        <v>-1.4836627872192993</v>
      </c>
      <c r="U135" s="16">
        <v>0</v>
      </c>
      <c r="V135" s="15">
        <f t="shared" si="64"/>
        <v>1.4836627872192993</v>
      </c>
      <c r="W135" s="15">
        <f t="shared" si="65"/>
        <v>2.9673255744385987</v>
      </c>
      <c r="X135" s="15">
        <f t="shared" si="66"/>
        <v>4.450988361657898</v>
      </c>
    </row>
    <row r="136" spans="1:24">
      <c r="A136" s="14">
        <f>'b（手動）計算用'!D20</f>
        <v>25</v>
      </c>
      <c r="B136" s="84">
        <f t="shared" si="67"/>
        <v>15.003372275297759</v>
      </c>
      <c r="C136" s="84">
        <f t="shared" si="46"/>
        <v>0</v>
      </c>
      <c r="D136" s="84">
        <f t="shared" si="47"/>
        <v>0</v>
      </c>
      <c r="E136" s="84">
        <f t="shared" si="48"/>
        <v>0</v>
      </c>
      <c r="F136" s="84">
        <f t="shared" si="49"/>
        <v>15.003372275297759</v>
      </c>
      <c r="G136" s="15">
        <f t="shared" si="50"/>
        <v>10.420585395973472</v>
      </c>
      <c r="H136" s="15">
        <f t="shared" si="51"/>
        <v>11.948181022414902</v>
      </c>
      <c r="I136" s="15">
        <f t="shared" si="52"/>
        <v>13.47577664885633</v>
      </c>
      <c r="J136" s="15">
        <f t="shared" si="53"/>
        <v>15.003372275297759</v>
      </c>
      <c r="K136" s="15">
        <f t="shared" si="54"/>
        <v>16.530967901739189</v>
      </c>
      <c r="L136" s="15">
        <f t="shared" si="55"/>
        <v>18.058563528180617</v>
      </c>
      <c r="M136" s="15">
        <f t="shared" si="56"/>
        <v>19.586159154622045</v>
      </c>
      <c r="N136" s="15">
        <f t="shared" si="69"/>
        <v>15.919929651162615</v>
      </c>
      <c r="O136" s="84">
        <f t="shared" si="58"/>
        <v>0</v>
      </c>
      <c r="P136" s="84">
        <f t="shared" si="59"/>
        <v>2.2913934396621429</v>
      </c>
      <c r="Q136" s="84">
        <f t="shared" si="60"/>
        <v>2.2913934396621429</v>
      </c>
      <c r="R136" s="15">
        <f t="shared" si="61"/>
        <v>-4.5827868793242859</v>
      </c>
      <c r="S136" s="15">
        <f t="shared" si="62"/>
        <v>-3.0551912528828571</v>
      </c>
      <c r="T136" s="15">
        <f t="shared" si="63"/>
        <v>-1.5275956264414285</v>
      </c>
      <c r="U136" s="16">
        <v>0</v>
      </c>
      <c r="V136" s="15">
        <f t="shared" si="64"/>
        <v>1.5275956264414285</v>
      </c>
      <c r="W136" s="15">
        <f t="shared" si="65"/>
        <v>3.0551912528828571</v>
      </c>
      <c r="X136" s="15">
        <f t="shared" si="66"/>
        <v>4.5827868793242859</v>
      </c>
    </row>
    <row r="137" spans="1:24">
      <c r="A137" s="14">
        <f>'b（手動）計算用'!D21</f>
        <v>26</v>
      </c>
      <c r="B137" s="84">
        <f t="shared" si="67"/>
        <v>15.472642287281205</v>
      </c>
      <c r="C137" s="84">
        <f t="shared" si="46"/>
        <v>0</v>
      </c>
      <c r="D137" s="84">
        <f t="shared" si="47"/>
        <v>0</v>
      </c>
      <c r="E137" s="84">
        <f t="shared" si="48"/>
        <v>0</v>
      </c>
      <c r="F137" s="84">
        <f t="shared" si="49"/>
        <v>15.472642287281205</v>
      </c>
      <c r="G137" s="15">
        <f t="shared" si="50"/>
        <v>10.760568197155019</v>
      </c>
      <c r="H137" s="15">
        <f t="shared" si="50"/>
        <v>12.331259560530414</v>
      </c>
      <c r="I137" s="15">
        <f t="shared" si="50"/>
        <v>13.90195092390581</v>
      </c>
      <c r="J137" s="15">
        <f t="shared" si="50"/>
        <v>15.472642287281205</v>
      </c>
      <c r="K137" s="15">
        <f t="shared" si="50"/>
        <v>17.043333650656599</v>
      </c>
      <c r="L137" s="15">
        <f t="shared" si="50"/>
        <v>18.614025014031995</v>
      </c>
      <c r="M137" s="15">
        <f t="shared" si="50"/>
        <v>20.184716377407391</v>
      </c>
      <c r="N137" s="15">
        <f t="shared" si="69"/>
        <v>16.415057105306442</v>
      </c>
      <c r="O137" s="84">
        <f t="shared" si="58"/>
        <v>0</v>
      </c>
      <c r="P137" s="84">
        <f t="shared" si="59"/>
        <v>2.3560370450630934</v>
      </c>
      <c r="Q137" s="84">
        <f t="shared" si="60"/>
        <v>2.3560370450630934</v>
      </c>
      <c r="R137" s="15">
        <f t="shared" si="61"/>
        <v>-4.7120740901261868</v>
      </c>
      <c r="S137" s="15">
        <f t="shared" si="62"/>
        <v>-3.1413827267507912</v>
      </c>
      <c r="T137" s="15">
        <f t="shared" si="63"/>
        <v>-1.5706913633753956</v>
      </c>
      <c r="U137" s="16">
        <v>0</v>
      </c>
      <c r="V137" s="15">
        <f t="shared" si="64"/>
        <v>1.5706913633753956</v>
      </c>
      <c r="W137" s="15">
        <f t="shared" si="65"/>
        <v>3.1413827267507912</v>
      </c>
      <c r="X137" s="15">
        <f t="shared" si="66"/>
        <v>4.7120740901261868</v>
      </c>
    </row>
    <row r="138" spans="1:24">
      <c r="A138" s="14">
        <f>'b（手動）計算用'!D22</f>
        <v>27</v>
      </c>
      <c r="B138" s="84">
        <f t="shared" si="67"/>
        <v>15.930625427673661</v>
      </c>
      <c r="C138" s="84">
        <f t="shared" si="46"/>
        <v>0</v>
      </c>
      <c r="D138" s="84">
        <f t="shared" si="47"/>
        <v>0</v>
      </c>
      <c r="E138" s="84">
        <f t="shared" si="48"/>
        <v>0</v>
      </c>
      <c r="F138" s="84">
        <f t="shared" si="49"/>
        <v>15.930625427673661</v>
      </c>
      <c r="G138" s="15">
        <f t="shared" ref="G138:M174" si="70">$F138+R138</f>
        <v>11.092068634908816</v>
      </c>
      <c r="H138" s="15">
        <f t="shared" si="70"/>
        <v>12.704920899163763</v>
      </c>
      <c r="I138" s="15">
        <f t="shared" si="70"/>
        <v>14.317773163418712</v>
      </c>
      <c r="J138" s="15">
        <f t="shared" si="70"/>
        <v>15.930625427673661</v>
      </c>
      <c r="K138" s="15">
        <f t="shared" si="70"/>
        <v>17.543477691928608</v>
      </c>
      <c r="L138" s="15">
        <f t="shared" si="70"/>
        <v>19.156329956183558</v>
      </c>
      <c r="M138" s="15">
        <f t="shared" si="70"/>
        <v>20.769182220438505</v>
      </c>
      <c r="N138" s="15">
        <f t="shared" si="69"/>
        <v>16.898336786226629</v>
      </c>
      <c r="O138" s="84">
        <f t="shared" si="58"/>
        <v>0</v>
      </c>
      <c r="P138" s="84">
        <f t="shared" si="59"/>
        <v>2.4192783963824227</v>
      </c>
      <c r="Q138" s="84">
        <f t="shared" si="60"/>
        <v>2.4192783963824227</v>
      </c>
      <c r="R138" s="15">
        <f t="shared" si="61"/>
        <v>-4.8385567927648454</v>
      </c>
      <c r="S138" s="15">
        <f t="shared" si="62"/>
        <v>-3.2257045285098971</v>
      </c>
      <c r="T138" s="15">
        <f t="shared" si="63"/>
        <v>-1.6128522642549485</v>
      </c>
      <c r="U138" s="16">
        <v>0</v>
      </c>
      <c r="V138" s="15">
        <f t="shared" si="64"/>
        <v>1.6128522642549485</v>
      </c>
      <c r="W138" s="15">
        <f t="shared" si="65"/>
        <v>3.2257045285098971</v>
      </c>
      <c r="X138" s="15">
        <f t="shared" si="66"/>
        <v>4.8385567927648454</v>
      </c>
    </row>
    <row r="139" spans="1:24">
      <c r="A139" s="14">
        <f>'b（手動）計算用'!D23</f>
        <v>28</v>
      </c>
      <c r="B139" s="84">
        <f t="shared" si="67"/>
        <v>16.377532416543605</v>
      </c>
      <c r="C139" s="84">
        <f t="shared" si="46"/>
        <v>0</v>
      </c>
      <c r="D139" s="84">
        <f t="shared" si="47"/>
        <v>0</v>
      </c>
      <c r="E139" s="84">
        <f t="shared" si="48"/>
        <v>0</v>
      </c>
      <c r="F139" s="84">
        <f t="shared" si="49"/>
        <v>16.377532416543605</v>
      </c>
      <c r="G139" s="15">
        <f t="shared" si="70"/>
        <v>11.415562151199621</v>
      </c>
      <c r="H139" s="15">
        <f t="shared" si="70"/>
        <v>13.069552239647615</v>
      </c>
      <c r="I139" s="15">
        <f t="shared" si="70"/>
        <v>14.723542328095611</v>
      </c>
      <c r="J139" s="15">
        <f t="shared" si="70"/>
        <v>16.377532416543605</v>
      </c>
      <c r="K139" s="15">
        <f t="shared" si="70"/>
        <v>18.031522504991599</v>
      </c>
      <c r="L139" s="15">
        <f t="shared" si="70"/>
        <v>19.685512593439594</v>
      </c>
      <c r="M139" s="15">
        <f t="shared" si="70"/>
        <v>21.339502681887588</v>
      </c>
      <c r="N139" s="15">
        <f t="shared" si="69"/>
        <v>17.369926469612402</v>
      </c>
      <c r="O139" s="84">
        <f t="shared" si="58"/>
        <v>0</v>
      </c>
      <c r="P139" s="84">
        <f t="shared" si="59"/>
        <v>2.4809851326719921</v>
      </c>
      <c r="Q139" s="84">
        <f t="shared" si="60"/>
        <v>2.4809851326719921</v>
      </c>
      <c r="R139" s="15">
        <f t="shared" si="61"/>
        <v>-4.9619702653439841</v>
      </c>
      <c r="S139" s="15">
        <f t="shared" si="62"/>
        <v>-3.3079801768959896</v>
      </c>
      <c r="T139" s="15">
        <f t="shared" si="63"/>
        <v>-1.6539900884479948</v>
      </c>
      <c r="U139" s="16">
        <v>0</v>
      </c>
      <c r="V139" s="15">
        <f t="shared" si="64"/>
        <v>1.6539900884479948</v>
      </c>
      <c r="W139" s="15">
        <f t="shared" si="65"/>
        <v>3.3079801768959896</v>
      </c>
      <c r="X139" s="15">
        <f t="shared" si="66"/>
        <v>4.9619702653439841</v>
      </c>
    </row>
    <row r="140" spans="1:24">
      <c r="A140" s="14">
        <f>'b（手動）計算用'!D24</f>
        <v>29</v>
      </c>
      <c r="B140" s="84">
        <f t="shared" si="67"/>
        <v>16.813576349420643</v>
      </c>
      <c r="C140" s="84">
        <f t="shared" si="46"/>
        <v>0</v>
      </c>
      <c r="D140" s="84">
        <f t="shared" si="47"/>
        <v>0</v>
      </c>
      <c r="E140" s="84">
        <f t="shared" si="48"/>
        <v>0</v>
      </c>
      <c r="F140" s="84">
        <f t="shared" si="49"/>
        <v>16.813576349420643</v>
      </c>
      <c r="G140" s="15">
        <f t="shared" si="70"/>
        <v>11.731496517105949</v>
      </c>
      <c r="H140" s="15">
        <f t="shared" si="70"/>
        <v>13.425523127877513</v>
      </c>
      <c r="I140" s="15">
        <f t="shared" si="70"/>
        <v>15.119549738649079</v>
      </c>
      <c r="J140" s="15">
        <f t="shared" si="70"/>
        <v>16.813576349420643</v>
      </c>
      <c r="K140" s="15">
        <f t="shared" si="70"/>
        <v>18.507602960192209</v>
      </c>
      <c r="L140" s="15">
        <f t="shared" si="70"/>
        <v>20.201629570963771</v>
      </c>
      <c r="M140" s="15">
        <f t="shared" si="70"/>
        <v>21.895656181735337</v>
      </c>
      <c r="N140" s="15">
        <f t="shared" si="69"/>
        <v>17.829992315883583</v>
      </c>
      <c r="O140" s="84">
        <f t="shared" si="58"/>
        <v>0</v>
      </c>
      <c r="P140" s="84">
        <f t="shared" si="59"/>
        <v>2.5410399161573469</v>
      </c>
      <c r="Q140" s="84">
        <f t="shared" si="60"/>
        <v>2.5410399161573469</v>
      </c>
      <c r="R140" s="15">
        <f t="shared" si="61"/>
        <v>-5.0820798323146938</v>
      </c>
      <c r="S140" s="15">
        <f t="shared" si="62"/>
        <v>-3.3880532215431294</v>
      </c>
      <c r="T140" s="15">
        <f t="shared" si="63"/>
        <v>-1.6940266107715647</v>
      </c>
      <c r="U140" s="16">
        <v>0</v>
      </c>
      <c r="V140" s="15">
        <f t="shared" si="64"/>
        <v>1.6940266107715647</v>
      </c>
      <c r="W140" s="15">
        <f t="shared" si="65"/>
        <v>3.3880532215431294</v>
      </c>
      <c r="X140" s="15">
        <f t="shared" si="66"/>
        <v>5.0820798323146938</v>
      </c>
    </row>
    <row r="141" spans="1:24">
      <c r="A141" s="14">
        <f>'b（手動）計算用'!D25</f>
        <v>30</v>
      </c>
      <c r="B141" s="84">
        <f t="shared" si="67"/>
        <v>17.238971761343358</v>
      </c>
      <c r="C141" s="84">
        <f t="shared" si="46"/>
        <v>0</v>
      </c>
      <c r="D141" s="84">
        <f t="shared" si="47"/>
        <v>0</v>
      </c>
      <c r="E141" s="84">
        <f t="shared" si="48"/>
        <v>0</v>
      </c>
      <c r="F141" s="84">
        <f t="shared" si="49"/>
        <v>17.238971761343358</v>
      </c>
      <c r="G141" s="15">
        <f t="shared" si="70"/>
        <v>12.040289909377908</v>
      </c>
      <c r="H141" s="15">
        <f t="shared" si="70"/>
        <v>13.773183860033058</v>
      </c>
      <c r="I141" s="15">
        <f t="shared" si="70"/>
        <v>15.506077810688208</v>
      </c>
      <c r="J141" s="15">
        <f t="shared" si="70"/>
        <v>17.238971761343358</v>
      </c>
      <c r="K141" s="15">
        <f t="shared" si="70"/>
        <v>18.971865711998507</v>
      </c>
      <c r="L141" s="15">
        <f t="shared" si="70"/>
        <v>20.704759662653657</v>
      </c>
      <c r="M141" s="15">
        <f t="shared" si="70"/>
        <v>22.437653613308807</v>
      </c>
      <c r="N141" s="15">
        <f t="shared" si="69"/>
        <v>18.278708131736447</v>
      </c>
      <c r="O141" s="84">
        <f t="shared" si="58"/>
        <v>0</v>
      </c>
      <c r="P141" s="84">
        <f t="shared" si="59"/>
        <v>2.5993409259827245</v>
      </c>
      <c r="Q141" s="84">
        <f t="shared" si="60"/>
        <v>2.5993409259827245</v>
      </c>
      <c r="R141" s="15">
        <f t="shared" si="61"/>
        <v>-5.198681851965449</v>
      </c>
      <c r="S141" s="15">
        <f t="shared" si="62"/>
        <v>-3.4657879013102995</v>
      </c>
      <c r="T141" s="15">
        <f t="shared" si="63"/>
        <v>-1.7328939506551497</v>
      </c>
      <c r="U141" s="16">
        <v>0</v>
      </c>
      <c r="V141" s="15">
        <f t="shared" si="64"/>
        <v>1.7328939506551497</v>
      </c>
      <c r="W141" s="15">
        <f t="shared" si="65"/>
        <v>3.4657879013102995</v>
      </c>
      <c r="X141" s="15">
        <f t="shared" si="66"/>
        <v>5.198681851965449</v>
      </c>
    </row>
    <row r="142" spans="1:24">
      <c r="A142" s="14">
        <f>'b（手動）計算用'!D26</f>
        <v>31</v>
      </c>
      <c r="B142" s="84">
        <f t="shared" si="67"/>
        <v>17.653933832946553</v>
      </c>
      <c r="C142" s="84">
        <f t="shared" si="46"/>
        <v>0</v>
      </c>
      <c r="D142" s="84">
        <f t="shared" si="47"/>
        <v>0</v>
      </c>
      <c r="E142" s="84">
        <f t="shared" si="48"/>
        <v>0</v>
      </c>
      <c r="F142" s="84">
        <f t="shared" si="49"/>
        <v>17.653933832946553</v>
      </c>
      <c r="G142" s="15">
        <f t="shared" si="70"/>
        <v>12.342329690260017</v>
      </c>
      <c r="H142" s="15">
        <f t="shared" si="70"/>
        <v>14.112864404488862</v>
      </c>
      <c r="I142" s="15">
        <f t="shared" si="70"/>
        <v>15.883399118717708</v>
      </c>
      <c r="J142" s="15">
        <f t="shared" si="70"/>
        <v>17.653933832946553</v>
      </c>
      <c r="K142" s="15">
        <f t="shared" si="70"/>
        <v>19.424468547175398</v>
      </c>
      <c r="L142" s="15">
        <f t="shared" si="70"/>
        <v>21.195003261404242</v>
      </c>
      <c r="M142" s="15">
        <f t="shared" si="70"/>
        <v>22.96553797563309</v>
      </c>
      <c r="N142" s="15">
        <f t="shared" si="69"/>
        <v>18.716254661483859</v>
      </c>
      <c r="O142" s="84">
        <f t="shared" si="58"/>
        <v>0</v>
      </c>
      <c r="P142" s="84">
        <f t="shared" si="59"/>
        <v>2.6558020713432677</v>
      </c>
      <c r="Q142" s="84">
        <f t="shared" si="60"/>
        <v>2.6558020713432677</v>
      </c>
      <c r="R142" s="15">
        <f t="shared" si="61"/>
        <v>-5.3116041426865355</v>
      </c>
      <c r="S142" s="15">
        <f t="shared" si="62"/>
        <v>-3.5410694284576905</v>
      </c>
      <c r="T142" s="15">
        <f t="shared" si="63"/>
        <v>-1.7705347142288452</v>
      </c>
      <c r="U142" s="16">
        <v>0</v>
      </c>
      <c r="V142" s="15">
        <f t="shared" si="64"/>
        <v>1.7705347142288452</v>
      </c>
      <c r="W142" s="15">
        <f t="shared" si="65"/>
        <v>3.5410694284576905</v>
      </c>
      <c r="X142" s="15">
        <f t="shared" si="66"/>
        <v>5.3116041426865355</v>
      </c>
    </row>
    <row r="143" spans="1:24">
      <c r="A143" s="14">
        <f>'b（手動）計算用'!D27</f>
        <v>32</v>
      </c>
      <c r="B143" s="84">
        <f t="shared" si="67"/>
        <v>18.058677715946025</v>
      </c>
      <c r="C143" s="84">
        <f t="shared" si="46"/>
        <v>0</v>
      </c>
      <c r="D143" s="84">
        <f t="shared" si="47"/>
        <v>0</v>
      </c>
      <c r="E143" s="84">
        <f t="shared" si="48"/>
        <v>0</v>
      </c>
      <c r="F143" s="84">
        <f t="shared" si="49"/>
        <v>18.058677715946025</v>
      </c>
      <c r="G143" s="15">
        <f t="shared" si="70"/>
        <v>12.637971834572276</v>
      </c>
      <c r="H143" s="15">
        <f t="shared" si="70"/>
        <v>14.444873795030192</v>
      </c>
      <c r="I143" s="15">
        <f t="shared" si="70"/>
        <v>16.251775755488108</v>
      </c>
      <c r="J143" s="15">
        <f t="shared" si="70"/>
        <v>18.058677715946025</v>
      </c>
      <c r="K143" s="15">
        <f t="shared" si="70"/>
        <v>19.865579676403943</v>
      </c>
      <c r="L143" s="15">
        <f t="shared" si="70"/>
        <v>21.672481636861857</v>
      </c>
      <c r="M143" s="15">
        <f t="shared" si="70"/>
        <v>23.479383597319774</v>
      </c>
      <c r="N143" s="15">
        <f t="shared" si="69"/>
        <v>19.142818892220774</v>
      </c>
      <c r="O143" s="84">
        <f t="shared" si="58"/>
        <v>0</v>
      </c>
      <c r="P143" s="84">
        <f t="shared" si="59"/>
        <v>2.7103529406868745</v>
      </c>
      <c r="Q143" s="84">
        <f t="shared" si="60"/>
        <v>2.7103529406868745</v>
      </c>
      <c r="R143" s="15">
        <f t="shared" si="61"/>
        <v>-5.420705881373749</v>
      </c>
      <c r="S143" s="15">
        <f t="shared" si="62"/>
        <v>-3.6138039209158328</v>
      </c>
      <c r="T143" s="15">
        <f t="shared" si="63"/>
        <v>-1.8069019604579164</v>
      </c>
      <c r="U143" s="16">
        <v>0</v>
      </c>
      <c r="V143" s="15">
        <f t="shared" si="64"/>
        <v>1.8069019604579164</v>
      </c>
      <c r="W143" s="15">
        <f t="shared" si="65"/>
        <v>3.6138039209158328</v>
      </c>
      <c r="X143" s="15">
        <f t="shared" si="66"/>
        <v>5.420705881373749</v>
      </c>
    </row>
    <row r="144" spans="1:24">
      <c r="A144" s="14">
        <f>'b（手動）計算用'!D28</f>
        <v>33</v>
      </c>
      <c r="B144" s="84">
        <f t="shared" si="67"/>
        <v>18.453417959518678</v>
      </c>
      <c r="C144" s="84">
        <f t="shared" si="46"/>
        <v>0</v>
      </c>
      <c r="D144" s="84">
        <f t="shared" si="47"/>
        <v>0</v>
      </c>
      <c r="E144" s="84">
        <f t="shared" si="48"/>
        <v>0</v>
      </c>
      <c r="F144" s="84">
        <f t="shared" si="49"/>
        <v>18.453417959518678</v>
      </c>
      <c r="G144" s="15">
        <f t="shared" si="70"/>
        <v>12.927540939761156</v>
      </c>
      <c r="H144" s="15">
        <f t="shared" si="70"/>
        <v>14.769499946346997</v>
      </c>
      <c r="I144" s="15">
        <f t="shared" si="70"/>
        <v>16.611458952932836</v>
      </c>
      <c r="J144" s="15">
        <f t="shared" si="70"/>
        <v>18.453417959518678</v>
      </c>
      <c r="K144" s="15">
        <f t="shared" si="70"/>
        <v>20.29537696610452</v>
      </c>
      <c r="L144" s="15">
        <f t="shared" si="70"/>
        <v>22.137335972690359</v>
      </c>
      <c r="M144" s="15">
        <f t="shared" si="70"/>
        <v>23.979294979276197</v>
      </c>
      <c r="N144" s="15">
        <f t="shared" si="69"/>
        <v>19.558593363470184</v>
      </c>
      <c r="O144" s="84">
        <f t="shared" si="58"/>
        <v>0</v>
      </c>
      <c r="P144" s="84">
        <f t="shared" si="59"/>
        <v>2.7629385098787607</v>
      </c>
      <c r="Q144" s="84">
        <f t="shared" si="60"/>
        <v>2.7629385098787607</v>
      </c>
      <c r="R144" s="15">
        <f t="shared" si="61"/>
        <v>-5.5258770197575213</v>
      </c>
      <c r="S144" s="15">
        <f t="shared" si="62"/>
        <v>-3.6839180131716809</v>
      </c>
      <c r="T144" s="15">
        <f t="shared" si="63"/>
        <v>-1.8419590065858404</v>
      </c>
      <c r="U144" s="16">
        <v>0</v>
      </c>
      <c r="V144" s="15">
        <f t="shared" si="64"/>
        <v>1.8419590065858404</v>
      </c>
      <c r="W144" s="15">
        <f t="shared" si="65"/>
        <v>3.6839180131716809</v>
      </c>
      <c r="X144" s="15">
        <f t="shared" si="66"/>
        <v>5.5258770197575213</v>
      </c>
    </row>
    <row r="145" spans="1:24">
      <c r="A145" s="14">
        <f>'b（手動）計算用'!D29</f>
        <v>34</v>
      </c>
      <c r="B145" s="84">
        <f t="shared" si="67"/>
        <v>18.838368022353542</v>
      </c>
      <c r="C145" s="84">
        <f t="shared" si="46"/>
        <v>0</v>
      </c>
      <c r="D145" s="84">
        <f t="shared" si="47"/>
        <v>0</v>
      </c>
      <c r="E145" s="84">
        <f t="shared" si="48"/>
        <v>0</v>
      </c>
      <c r="F145" s="84">
        <f t="shared" si="49"/>
        <v>18.838368022353542</v>
      </c>
      <c r="G145" s="15">
        <f t="shared" si="70"/>
        <v>13.211330748476676</v>
      </c>
      <c r="H145" s="15">
        <f t="shared" si="70"/>
        <v>15.087009839768966</v>
      </c>
      <c r="I145" s="15">
        <f t="shared" si="70"/>
        <v>16.962688931061255</v>
      </c>
      <c r="J145" s="15">
        <f t="shared" si="70"/>
        <v>18.838368022353542</v>
      </c>
      <c r="K145" s="15">
        <f t="shared" si="70"/>
        <v>20.71404711364583</v>
      </c>
      <c r="L145" s="15">
        <f t="shared" si="70"/>
        <v>22.58972620493812</v>
      </c>
      <c r="M145" s="15">
        <f t="shared" si="70"/>
        <v>24.465405296230408</v>
      </c>
      <c r="N145" s="15">
        <f t="shared" si="69"/>
        <v>19.963775477128916</v>
      </c>
      <c r="O145" s="84">
        <f t="shared" si="58"/>
        <v>0</v>
      </c>
      <c r="P145" s="84">
        <f t="shared" si="59"/>
        <v>2.8135186369384328</v>
      </c>
      <c r="Q145" s="84">
        <f t="shared" si="60"/>
        <v>2.8135186369384328</v>
      </c>
      <c r="R145" s="15">
        <f t="shared" si="61"/>
        <v>-5.6270372738768657</v>
      </c>
      <c r="S145" s="15">
        <f t="shared" si="62"/>
        <v>-3.751358182584577</v>
      </c>
      <c r="T145" s="15">
        <f t="shared" si="63"/>
        <v>-1.8756790912922885</v>
      </c>
      <c r="U145" s="16">
        <v>0</v>
      </c>
      <c r="V145" s="15">
        <f t="shared" si="64"/>
        <v>1.8756790912922885</v>
      </c>
      <c r="W145" s="15">
        <f t="shared" si="65"/>
        <v>3.751358182584577</v>
      </c>
      <c r="X145" s="15">
        <f t="shared" si="66"/>
        <v>5.6270372738768657</v>
      </c>
    </row>
    <row r="146" spans="1:24">
      <c r="A146" s="14">
        <f>'b（手動）計算用'!D30</f>
        <v>35</v>
      </c>
      <c r="B146" s="84">
        <f t="shared" si="67"/>
        <v>19.213739857764025</v>
      </c>
      <c r="C146" s="84">
        <f t="shared" si="46"/>
        <v>0</v>
      </c>
      <c r="D146" s="84">
        <f t="shared" si="47"/>
        <v>0</v>
      </c>
      <c r="E146" s="84">
        <f t="shared" si="48"/>
        <v>0</v>
      </c>
      <c r="F146" s="84">
        <f t="shared" si="49"/>
        <v>19.213739857764025</v>
      </c>
      <c r="G146" s="15">
        <f t="shared" si="70"/>
        <v>13.489605109474942</v>
      </c>
      <c r="H146" s="15">
        <f t="shared" si="70"/>
        <v>15.397650025571304</v>
      </c>
      <c r="I146" s="15">
        <f t="shared" si="70"/>
        <v>17.305694941667664</v>
      </c>
      <c r="J146" s="15">
        <f t="shared" si="70"/>
        <v>19.213739857764025</v>
      </c>
      <c r="K146" s="15">
        <f t="shared" si="70"/>
        <v>21.121784773860387</v>
      </c>
      <c r="L146" s="15">
        <f t="shared" si="70"/>
        <v>23.029829689956749</v>
      </c>
      <c r="M146" s="15">
        <f t="shared" si="70"/>
        <v>24.937874606053107</v>
      </c>
      <c r="N146" s="15">
        <f t="shared" si="69"/>
        <v>20.358566807421841</v>
      </c>
      <c r="O146" s="84">
        <f t="shared" si="58"/>
        <v>0</v>
      </c>
      <c r="P146" s="84">
        <f t="shared" si="59"/>
        <v>2.8620673741445417</v>
      </c>
      <c r="Q146" s="84">
        <f t="shared" si="60"/>
        <v>2.8620673741445417</v>
      </c>
      <c r="R146" s="15">
        <f t="shared" si="61"/>
        <v>-5.7241347482890834</v>
      </c>
      <c r="S146" s="15">
        <f t="shared" si="62"/>
        <v>-3.8160898321927221</v>
      </c>
      <c r="T146" s="15">
        <f t="shared" si="63"/>
        <v>-1.9080449160963611</v>
      </c>
      <c r="U146" s="16">
        <v>0</v>
      </c>
      <c r="V146" s="15">
        <f t="shared" si="64"/>
        <v>1.9080449160963611</v>
      </c>
      <c r="W146" s="15">
        <f t="shared" si="65"/>
        <v>3.8160898321927221</v>
      </c>
      <c r="X146" s="15">
        <f t="shared" si="66"/>
        <v>5.7241347482890834</v>
      </c>
    </row>
    <row r="147" spans="1:24">
      <c r="A147" s="14">
        <f>'b（手動）計算用'!D31</f>
        <v>36</v>
      </c>
      <c r="B147" s="84">
        <f t="shared" si="67"/>
        <v>19.579743561355162</v>
      </c>
      <c r="C147" s="84">
        <f t="shared" si="46"/>
        <v>0</v>
      </c>
      <c r="D147" s="84">
        <f t="shared" si="47"/>
        <v>0</v>
      </c>
      <c r="E147" s="84">
        <f t="shared" si="48"/>
        <v>0</v>
      </c>
      <c r="F147" s="84">
        <f t="shared" si="49"/>
        <v>19.579743561355162</v>
      </c>
      <c r="G147" s="15">
        <f t="shared" si="70"/>
        <v>13.762599301335648</v>
      </c>
      <c r="H147" s="15">
        <f t="shared" si="70"/>
        <v>15.701647388008819</v>
      </c>
      <c r="I147" s="15">
        <f t="shared" si="70"/>
        <v>17.640695474681991</v>
      </c>
      <c r="J147" s="15">
        <f t="shared" si="70"/>
        <v>19.579743561355162</v>
      </c>
      <c r="K147" s="15">
        <f t="shared" si="70"/>
        <v>21.518791648028333</v>
      </c>
      <c r="L147" s="15">
        <f t="shared" si="70"/>
        <v>23.457839734701505</v>
      </c>
      <c r="M147" s="15">
        <f t="shared" si="70"/>
        <v>25.396887821374676</v>
      </c>
      <c r="N147" s="15">
        <f t="shared" si="69"/>
        <v>20.743172413359066</v>
      </c>
      <c r="O147" s="84">
        <f t="shared" si="58"/>
        <v>0</v>
      </c>
      <c r="P147" s="84">
        <f t="shared" si="59"/>
        <v>2.9085721300097567</v>
      </c>
      <c r="Q147" s="84">
        <f t="shared" si="60"/>
        <v>2.9085721300097567</v>
      </c>
      <c r="R147" s="15">
        <f t="shared" si="61"/>
        <v>-5.8171442600195133</v>
      </c>
      <c r="S147" s="15">
        <f t="shared" si="62"/>
        <v>-3.8780961733463424</v>
      </c>
      <c r="T147" s="15">
        <f t="shared" si="63"/>
        <v>-1.9390480866731712</v>
      </c>
      <c r="U147" s="16">
        <v>0</v>
      </c>
      <c r="V147" s="15">
        <f t="shared" si="64"/>
        <v>1.9390480866731712</v>
      </c>
      <c r="W147" s="15">
        <f t="shared" si="65"/>
        <v>3.8780961733463424</v>
      </c>
      <c r="X147" s="15">
        <f t="shared" si="66"/>
        <v>5.8171442600195133</v>
      </c>
    </row>
    <row r="148" spans="1:24">
      <c r="A148" s="14">
        <f>'b（手動）計算用'!D32</f>
        <v>37</v>
      </c>
      <c r="B148" s="84">
        <f t="shared" si="67"/>
        <v>19.93658707244245</v>
      </c>
      <c r="C148" s="84">
        <f t="shared" si="46"/>
        <v>0</v>
      </c>
      <c r="D148" s="84">
        <f t="shared" si="47"/>
        <v>0</v>
      </c>
      <c r="E148" s="84">
        <f t="shared" si="48"/>
        <v>0</v>
      </c>
      <c r="F148" s="84">
        <f t="shared" si="49"/>
        <v>19.93658707244245</v>
      </c>
      <c r="G148" s="15">
        <f t="shared" si="70"/>
        <v>14.030521644484024</v>
      </c>
      <c r="H148" s="15">
        <f t="shared" si="70"/>
        <v>15.999210120470165</v>
      </c>
      <c r="I148" s="15">
        <f t="shared" si="70"/>
        <v>17.967898596456308</v>
      </c>
      <c r="J148" s="15">
        <f t="shared" si="70"/>
        <v>19.93658707244245</v>
      </c>
      <c r="K148" s="15">
        <f t="shared" si="70"/>
        <v>21.905275548428591</v>
      </c>
      <c r="L148" s="15">
        <f t="shared" si="70"/>
        <v>23.873964024414732</v>
      </c>
      <c r="M148" s="15">
        <f t="shared" si="70"/>
        <v>25.842652500400874</v>
      </c>
      <c r="N148" s="15">
        <f t="shared" si="69"/>
        <v>21.117800158034136</v>
      </c>
      <c r="O148" s="84">
        <f t="shared" si="58"/>
        <v>0</v>
      </c>
      <c r="P148" s="84">
        <f t="shared" si="59"/>
        <v>2.953032713979213</v>
      </c>
      <c r="Q148" s="84">
        <f t="shared" si="60"/>
        <v>2.953032713979213</v>
      </c>
      <c r="R148" s="15">
        <f t="shared" si="61"/>
        <v>-5.9060654279584259</v>
      </c>
      <c r="S148" s="15">
        <f t="shared" si="62"/>
        <v>-3.9373769519722841</v>
      </c>
      <c r="T148" s="15">
        <f t="shared" si="63"/>
        <v>-1.9686884759861421</v>
      </c>
      <c r="U148" s="16">
        <v>0</v>
      </c>
      <c r="V148" s="15">
        <f t="shared" si="64"/>
        <v>1.9686884759861421</v>
      </c>
      <c r="W148" s="15">
        <f t="shared" si="65"/>
        <v>3.9373769519722841</v>
      </c>
      <c r="X148" s="15">
        <f t="shared" si="66"/>
        <v>5.9060654279584259</v>
      </c>
    </row>
    <row r="149" spans="1:24">
      <c r="A149" s="14">
        <f>'b（手動）計算用'!D33</f>
        <v>38</v>
      </c>
      <c r="B149" s="84">
        <f t="shared" si="67"/>
        <v>20.284475921807381</v>
      </c>
      <c r="C149" s="84">
        <f t="shared" si="46"/>
        <v>0</v>
      </c>
      <c r="D149" s="84">
        <f t="shared" si="47"/>
        <v>0</v>
      </c>
      <c r="E149" s="84">
        <f t="shared" si="48"/>
        <v>0</v>
      </c>
      <c r="F149" s="84">
        <f t="shared" si="49"/>
        <v>20.284475921807381</v>
      </c>
      <c r="G149" s="15">
        <f t="shared" si="70"/>
        <v>14.293555330049994</v>
      </c>
      <c r="H149" s="15">
        <f t="shared" si="70"/>
        <v>16.290528860635789</v>
      </c>
      <c r="I149" s="15">
        <f t="shared" si="70"/>
        <v>18.287502391221587</v>
      </c>
      <c r="J149" s="15">
        <f t="shared" si="70"/>
        <v>20.284475921807381</v>
      </c>
      <c r="K149" s="15">
        <f t="shared" si="70"/>
        <v>22.281449452393176</v>
      </c>
      <c r="L149" s="15">
        <f t="shared" si="70"/>
        <v>24.278422982978974</v>
      </c>
      <c r="M149" s="15">
        <f t="shared" si="70"/>
        <v>26.275396513564768</v>
      </c>
      <c r="N149" s="15">
        <f t="shared" si="69"/>
        <v>21.482660040158859</v>
      </c>
      <c r="O149" s="84">
        <f t="shared" si="58"/>
        <v>0</v>
      </c>
      <c r="P149" s="84">
        <f t="shared" si="59"/>
        <v>2.995460295878694</v>
      </c>
      <c r="Q149" s="84">
        <f t="shared" si="60"/>
        <v>2.995460295878694</v>
      </c>
      <c r="R149" s="15">
        <f t="shared" si="61"/>
        <v>-5.990920591757388</v>
      </c>
      <c r="S149" s="15">
        <f t="shared" si="62"/>
        <v>-3.9939470611715921</v>
      </c>
      <c r="T149" s="15">
        <f t="shared" si="63"/>
        <v>-1.9969735305857961</v>
      </c>
      <c r="U149" s="16">
        <v>0</v>
      </c>
      <c r="V149" s="15">
        <f t="shared" si="64"/>
        <v>1.9969735305857961</v>
      </c>
      <c r="W149" s="15">
        <f t="shared" si="65"/>
        <v>3.9939470611715921</v>
      </c>
      <c r="X149" s="15">
        <f t="shared" si="66"/>
        <v>5.990920591757388</v>
      </c>
    </row>
    <row r="150" spans="1:24">
      <c r="A150" s="14">
        <f>'b（手動）計算用'!D34</f>
        <v>39</v>
      </c>
      <c r="B150" s="84">
        <f t="shared" si="67"/>
        <v>20.623613019513694</v>
      </c>
      <c r="C150" s="84">
        <f t="shared" si="46"/>
        <v>0</v>
      </c>
      <c r="D150" s="84">
        <f t="shared" si="47"/>
        <v>0</v>
      </c>
      <c r="E150" s="84">
        <f t="shared" si="48"/>
        <v>0</v>
      </c>
      <c r="F150" s="84">
        <f t="shared" si="49"/>
        <v>20.623613019513694</v>
      </c>
      <c r="G150" s="15">
        <f t="shared" si="70"/>
        <v>14.55186039882949</v>
      </c>
      <c r="H150" s="15">
        <f t="shared" si="70"/>
        <v>16.575777939057559</v>
      </c>
      <c r="I150" s="15">
        <f t="shared" si="70"/>
        <v>18.599695479285625</v>
      </c>
      <c r="J150" s="15">
        <f t="shared" si="70"/>
        <v>20.623613019513694</v>
      </c>
      <c r="K150" s="15">
        <f t="shared" si="70"/>
        <v>22.647530559741764</v>
      </c>
      <c r="L150" s="15">
        <f t="shared" si="70"/>
        <v>24.67144809996983</v>
      </c>
      <c r="M150" s="15">
        <f t="shared" si="70"/>
        <v>26.695365640197899</v>
      </c>
      <c r="N150" s="15">
        <f t="shared" si="69"/>
        <v>21.837963543650535</v>
      </c>
      <c r="O150" s="84">
        <f t="shared" si="58"/>
        <v>0</v>
      </c>
      <c r="P150" s="84">
        <f t="shared" si="59"/>
        <v>3.0358763103421027</v>
      </c>
      <c r="Q150" s="84">
        <f t="shared" si="60"/>
        <v>3.0358763103421027</v>
      </c>
      <c r="R150" s="15">
        <f t="shared" si="61"/>
        <v>-6.0717526206842054</v>
      </c>
      <c r="S150" s="15">
        <f t="shared" si="62"/>
        <v>-4.0478350804561369</v>
      </c>
      <c r="T150" s="15">
        <f t="shared" si="63"/>
        <v>-2.0239175402280685</v>
      </c>
      <c r="U150" s="16">
        <v>0</v>
      </c>
      <c r="V150" s="15">
        <f t="shared" si="64"/>
        <v>2.0239175402280685</v>
      </c>
      <c r="W150" s="15">
        <f t="shared" si="65"/>
        <v>4.0478350804561369</v>
      </c>
      <c r="X150" s="15">
        <f t="shared" si="66"/>
        <v>6.0717526206842054</v>
      </c>
    </row>
    <row r="151" spans="1:24">
      <c r="A151" s="14">
        <f>'b（手動）計算用'!D35</f>
        <v>40</v>
      </c>
      <c r="B151" s="84">
        <f t="shared" si="67"/>
        <v>20.954198477448166</v>
      </c>
      <c r="C151" s="84">
        <f t="shared" si="46"/>
        <v>0</v>
      </c>
      <c r="D151" s="84">
        <f t="shared" si="47"/>
        <v>0</v>
      </c>
      <c r="E151" s="84">
        <f t="shared" si="48"/>
        <v>0</v>
      </c>
      <c r="F151" s="84">
        <f t="shared" si="49"/>
        <v>20.954198477448166</v>
      </c>
      <c r="G151" s="15">
        <f t="shared" si="70"/>
        <v>14.80557580963583</v>
      </c>
      <c r="H151" s="15">
        <f t="shared" si="70"/>
        <v>16.855116698906606</v>
      </c>
      <c r="I151" s="15">
        <f t="shared" si="70"/>
        <v>18.904657588177386</v>
      </c>
      <c r="J151" s="15">
        <f t="shared" si="70"/>
        <v>20.954198477448166</v>
      </c>
      <c r="K151" s="15">
        <f t="shared" si="70"/>
        <v>23.003739366718946</v>
      </c>
      <c r="L151" s="15">
        <f t="shared" si="70"/>
        <v>25.053280255989726</v>
      </c>
      <c r="M151" s="15">
        <f t="shared" si="70"/>
        <v>27.102821145260503</v>
      </c>
      <c r="N151" s="15">
        <f t="shared" si="69"/>
        <v>22.183923011010634</v>
      </c>
      <c r="O151" s="84">
        <f t="shared" si="58"/>
        <v>0</v>
      </c>
      <c r="P151" s="84">
        <f t="shared" si="59"/>
        <v>3.0743113339061687</v>
      </c>
      <c r="Q151" s="84">
        <f t="shared" si="60"/>
        <v>3.0743113339061687</v>
      </c>
      <c r="R151" s="15">
        <f t="shared" si="61"/>
        <v>-6.1486226678123375</v>
      </c>
      <c r="S151" s="15">
        <f t="shared" si="62"/>
        <v>-4.0990817785415583</v>
      </c>
      <c r="T151" s="15">
        <f t="shared" si="63"/>
        <v>-2.0495408892707792</v>
      </c>
      <c r="U151" s="16">
        <v>0</v>
      </c>
      <c r="V151" s="15">
        <f t="shared" si="64"/>
        <v>2.0495408892707792</v>
      </c>
      <c r="W151" s="15">
        <f t="shared" si="65"/>
        <v>4.0990817785415583</v>
      </c>
      <c r="X151" s="15">
        <f t="shared" si="66"/>
        <v>6.1486226678123375</v>
      </c>
    </row>
    <row r="152" spans="1:24">
      <c r="A152" s="14">
        <f>'b（手動）計算用'!D36</f>
        <v>41</v>
      </c>
      <c r="B152" s="84">
        <f t="shared" si="67"/>
        <v>21.276429462029611</v>
      </c>
      <c r="C152" s="84">
        <f t="shared" si="46"/>
        <v>0</v>
      </c>
      <c r="D152" s="84">
        <f t="shared" si="47"/>
        <v>0</v>
      </c>
      <c r="E152" s="84">
        <f t="shared" si="48"/>
        <v>0</v>
      </c>
      <c r="F152" s="84">
        <f t="shared" si="49"/>
        <v>21.276429462029611</v>
      </c>
      <c r="G152" s="15">
        <f t="shared" si="70"/>
        <v>15.054821543237056</v>
      </c>
      <c r="H152" s="15">
        <f t="shared" si="70"/>
        <v>17.12869084950124</v>
      </c>
      <c r="I152" s="15">
        <f t="shared" si="70"/>
        <v>19.202560155765426</v>
      </c>
      <c r="J152" s="15">
        <f t="shared" si="70"/>
        <v>21.276429462029611</v>
      </c>
      <c r="K152" s="15">
        <f t="shared" si="70"/>
        <v>23.350298768293797</v>
      </c>
      <c r="L152" s="15">
        <f t="shared" si="70"/>
        <v>25.424168074557983</v>
      </c>
      <c r="M152" s="15">
        <f t="shared" si="70"/>
        <v>27.498037380822169</v>
      </c>
      <c r="N152" s="15">
        <f t="shared" si="69"/>
        <v>22.520751045788124</v>
      </c>
      <c r="O152" s="84">
        <f t="shared" si="58"/>
        <v>0</v>
      </c>
      <c r="P152" s="84">
        <f t="shared" si="59"/>
        <v>3.1108039593962777</v>
      </c>
      <c r="Q152" s="84">
        <f t="shared" si="60"/>
        <v>3.1108039593962777</v>
      </c>
      <c r="R152" s="15">
        <f t="shared" si="61"/>
        <v>-6.2216079187925555</v>
      </c>
      <c r="S152" s="15">
        <f t="shared" si="62"/>
        <v>-4.1477386125283706</v>
      </c>
      <c r="T152" s="15">
        <f t="shared" si="63"/>
        <v>-2.0738693062641853</v>
      </c>
      <c r="U152" s="16">
        <v>0</v>
      </c>
      <c r="V152" s="15">
        <f t="shared" si="64"/>
        <v>2.0738693062641853</v>
      </c>
      <c r="W152" s="15">
        <f t="shared" si="65"/>
        <v>4.1477386125283706</v>
      </c>
      <c r="X152" s="15">
        <f t="shared" si="66"/>
        <v>6.2216079187925555</v>
      </c>
    </row>
    <row r="153" spans="1:24">
      <c r="A153" s="14">
        <f>'b（手動）計算用'!D37</f>
        <v>42</v>
      </c>
      <c r="B153" s="84">
        <f t="shared" si="67"/>
        <v>21.590500073179975</v>
      </c>
      <c r="C153" s="84">
        <f t="shared" si="46"/>
        <v>0</v>
      </c>
      <c r="D153" s="84">
        <f t="shared" si="47"/>
        <v>0</v>
      </c>
      <c r="E153" s="84">
        <f t="shared" si="48"/>
        <v>0</v>
      </c>
      <c r="F153" s="84">
        <f t="shared" si="49"/>
        <v>21.590500073179975</v>
      </c>
      <c r="G153" s="15">
        <f t="shared" si="70"/>
        <v>15.299700695481063</v>
      </c>
      <c r="H153" s="15">
        <f t="shared" si="70"/>
        <v>17.3966338213807</v>
      </c>
      <c r="I153" s="15">
        <f t="shared" si="70"/>
        <v>19.493566947280335</v>
      </c>
      <c r="J153" s="15">
        <f t="shared" si="70"/>
        <v>21.590500073179975</v>
      </c>
      <c r="K153" s="15">
        <f t="shared" si="70"/>
        <v>23.687433199079614</v>
      </c>
      <c r="L153" s="15">
        <f t="shared" si="70"/>
        <v>25.784366324979249</v>
      </c>
      <c r="M153" s="15">
        <f t="shared" si="70"/>
        <v>27.881299450878885</v>
      </c>
      <c r="N153" s="15">
        <f t="shared" si="69"/>
        <v>22.848659948719757</v>
      </c>
      <c r="O153" s="84">
        <f t="shared" si="58"/>
        <v>0</v>
      </c>
      <c r="P153" s="84">
        <f t="shared" si="59"/>
        <v>3.145399688849456</v>
      </c>
      <c r="Q153" s="84">
        <f t="shared" si="60"/>
        <v>3.145399688849456</v>
      </c>
      <c r="R153" s="15">
        <f t="shared" si="61"/>
        <v>-6.290799377698912</v>
      </c>
      <c r="S153" s="15">
        <f t="shared" si="62"/>
        <v>-4.1938662517992746</v>
      </c>
      <c r="T153" s="15">
        <f t="shared" si="63"/>
        <v>-2.0969331258996373</v>
      </c>
      <c r="U153" s="16">
        <v>0</v>
      </c>
      <c r="V153" s="15">
        <f t="shared" si="64"/>
        <v>2.0969331258996373</v>
      </c>
      <c r="W153" s="15">
        <f t="shared" si="65"/>
        <v>4.1938662517992746</v>
      </c>
      <c r="X153" s="15">
        <f t="shared" si="66"/>
        <v>6.290799377698912</v>
      </c>
    </row>
    <row r="154" spans="1:24">
      <c r="A154" s="14">
        <f>'b（手動）計算用'!D38</f>
        <v>43</v>
      </c>
      <c r="B154" s="84">
        <f t="shared" si="67"/>
        <v>21.896601246196767</v>
      </c>
      <c r="C154" s="84">
        <f t="shared" si="46"/>
        <v>0</v>
      </c>
      <c r="D154" s="84">
        <f t="shared" si="47"/>
        <v>0</v>
      </c>
      <c r="E154" s="84">
        <f t="shared" si="48"/>
        <v>0</v>
      </c>
      <c r="F154" s="84">
        <f t="shared" si="49"/>
        <v>21.896601246196767</v>
      </c>
      <c r="G154" s="15">
        <f t="shared" si="70"/>
        <v>15.540301520768683</v>
      </c>
      <c r="H154" s="15">
        <f t="shared" si="70"/>
        <v>17.659068095911376</v>
      </c>
      <c r="I154" s="15">
        <f t="shared" si="70"/>
        <v>19.777834671054073</v>
      </c>
      <c r="J154" s="15">
        <f t="shared" si="70"/>
        <v>21.896601246196767</v>
      </c>
      <c r="K154" s="15">
        <f t="shared" si="70"/>
        <v>24.01536782133946</v>
      </c>
      <c r="L154" s="15">
        <f t="shared" si="70"/>
        <v>26.134134396482157</v>
      </c>
      <c r="M154" s="15">
        <f t="shared" si="70"/>
        <v>28.25290097162485</v>
      </c>
      <c r="N154" s="15">
        <f t="shared" si="69"/>
        <v>23.167861191282384</v>
      </c>
      <c r="O154" s="84">
        <f t="shared" si="58"/>
        <v>0</v>
      </c>
      <c r="P154" s="84">
        <f t="shared" si="59"/>
        <v>3.1781498627140419</v>
      </c>
      <c r="Q154" s="84">
        <f t="shared" si="60"/>
        <v>3.1781498627140419</v>
      </c>
      <c r="R154" s="15">
        <f t="shared" si="61"/>
        <v>-6.3562997254280837</v>
      </c>
      <c r="S154" s="15">
        <f t="shared" si="62"/>
        <v>-4.2375331502853895</v>
      </c>
      <c r="T154" s="15">
        <f t="shared" si="63"/>
        <v>-2.1187665751426947</v>
      </c>
      <c r="U154" s="16">
        <v>0</v>
      </c>
      <c r="V154" s="15">
        <f t="shared" si="64"/>
        <v>2.1187665751426947</v>
      </c>
      <c r="W154" s="15">
        <f t="shared" si="65"/>
        <v>4.2375331502853895</v>
      </c>
      <c r="X154" s="15">
        <f t="shared" si="66"/>
        <v>6.3562997254280837</v>
      </c>
    </row>
    <row r="155" spans="1:24">
      <c r="A155" s="14">
        <f>'b（手動）計算用'!D39</f>
        <v>44</v>
      </c>
      <c r="B155" s="84">
        <f t="shared" si="67"/>
        <v>22.194920673624839</v>
      </c>
      <c r="C155" s="84">
        <f t="shared" si="46"/>
        <v>0</v>
      </c>
      <c r="D155" s="84">
        <f t="shared" si="47"/>
        <v>0</v>
      </c>
      <c r="E155" s="84">
        <f t="shared" si="48"/>
        <v>0</v>
      </c>
      <c r="F155" s="84">
        <f t="shared" si="49"/>
        <v>22.194920673624839</v>
      </c>
      <c r="G155" s="15">
        <f t="shared" si="70"/>
        <v>15.776699394451457</v>
      </c>
      <c r="H155" s="15">
        <f t="shared" si="70"/>
        <v>17.91610648750925</v>
      </c>
      <c r="I155" s="15">
        <f t="shared" si="70"/>
        <v>20.055513580567045</v>
      </c>
      <c r="J155" s="15">
        <f t="shared" si="70"/>
        <v>22.194920673624839</v>
      </c>
      <c r="K155" s="15">
        <f t="shared" si="70"/>
        <v>24.334327766682634</v>
      </c>
      <c r="L155" s="15">
        <f t="shared" si="70"/>
        <v>26.473734859740429</v>
      </c>
      <c r="M155" s="15">
        <f t="shared" si="70"/>
        <v>28.613141952798223</v>
      </c>
      <c r="N155" s="15">
        <f t="shared" si="69"/>
        <v>23.478564929459516</v>
      </c>
      <c r="O155" s="84">
        <f t="shared" si="58"/>
        <v>0</v>
      </c>
      <c r="P155" s="84">
        <f t="shared" si="59"/>
        <v>3.2091106395866911</v>
      </c>
      <c r="Q155" s="84">
        <f t="shared" si="60"/>
        <v>3.2091106395866911</v>
      </c>
      <c r="R155" s="15">
        <f t="shared" si="61"/>
        <v>-6.4182212791733821</v>
      </c>
      <c r="S155" s="15">
        <f t="shared" si="62"/>
        <v>-4.2788141861155884</v>
      </c>
      <c r="T155" s="15">
        <f t="shared" si="63"/>
        <v>-2.1394070930577942</v>
      </c>
      <c r="U155" s="16">
        <v>0</v>
      </c>
      <c r="V155" s="15">
        <f t="shared" si="64"/>
        <v>2.1394070930577942</v>
      </c>
      <c r="W155" s="15">
        <f t="shared" si="65"/>
        <v>4.2788141861155884</v>
      </c>
      <c r="X155" s="15">
        <f t="shared" si="66"/>
        <v>6.4182212791733821</v>
      </c>
    </row>
    <row r="156" spans="1:24">
      <c r="A156" s="14">
        <f>'b（手動）計算用'!D40</f>
        <v>45</v>
      </c>
      <c r="B156" s="84">
        <f t="shared" si="67"/>
        <v>22.485642744613877</v>
      </c>
      <c r="C156" s="84">
        <f t="shared" si="46"/>
        <v>0</v>
      </c>
      <c r="D156" s="84">
        <f t="shared" si="47"/>
        <v>0</v>
      </c>
      <c r="E156" s="84">
        <f t="shared" si="48"/>
        <v>0</v>
      </c>
      <c r="F156" s="84">
        <f t="shared" si="49"/>
        <v>22.485642744613877</v>
      </c>
      <c r="G156" s="15">
        <f t="shared" si="70"/>
        <v>16.008958669772252</v>
      </c>
      <c r="H156" s="15">
        <f t="shared" si="70"/>
        <v>18.167853361386125</v>
      </c>
      <c r="I156" s="15">
        <f t="shared" si="70"/>
        <v>20.326748053000003</v>
      </c>
      <c r="J156" s="15">
        <f t="shared" si="70"/>
        <v>22.485642744613877</v>
      </c>
      <c r="K156" s="15">
        <f t="shared" si="70"/>
        <v>24.644537436227751</v>
      </c>
      <c r="L156" s="15">
        <f t="shared" si="70"/>
        <v>26.803432127841628</v>
      </c>
      <c r="M156" s="15">
        <f t="shared" si="70"/>
        <v>28.962326819455502</v>
      </c>
      <c r="N156" s="15">
        <f t="shared" si="69"/>
        <v>23.780979559582203</v>
      </c>
      <c r="O156" s="84">
        <f t="shared" si="58"/>
        <v>0</v>
      </c>
      <c r="P156" s="84">
        <f t="shared" si="59"/>
        <v>3.2383420374208129</v>
      </c>
      <c r="Q156" s="84">
        <f t="shared" si="60"/>
        <v>3.2383420374208129</v>
      </c>
      <c r="R156" s="15">
        <f t="shared" si="61"/>
        <v>-6.4766840748416259</v>
      </c>
      <c r="S156" s="15">
        <f t="shared" si="62"/>
        <v>-4.3177893832277503</v>
      </c>
      <c r="T156" s="15">
        <f t="shared" si="63"/>
        <v>-2.1588946916138751</v>
      </c>
      <c r="U156" s="16">
        <v>0</v>
      </c>
      <c r="V156" s="15">
        <f t="shared" si="64"/>
        <v>2.1588946916138751</v>
      </c>
      <c r="W156" s="15">
        <f t="shared" si="65"/>
        <v>4.3177893832277503</v>
      </c>
      <c r="X156" s="15">
        <f t="shared" si="66"/>
        <v>6.4766840748416259</v>
      </c>
    </row>
    <row r="157" spans="1:24">
      <c r="A157" s="14">
        <f>'b（手動）計算用'!D41</f>
        <v>46</v>
      </c>
      <c r="B157" s="84">
        <f t="shared" si="67"/>
        <v>22.768948499577707</v>
      </c>
      <c r="C157" s="84">
        <f t="shared" si="46"/>
        <v>0</v>
      </c>
      <c r="D157" s="84">
        <f t="shared" si="47"/>
        <v>0</v>
      </c>
      <c r="E157" s="84">
        <f t="shared" si="48"/>
        <v>0</v>
      </c>
      <c r="F157" s="84">
        <f t="shared" si="49"/>
        <v>22.768948499577707</v>
      </c>
      <c r="G157" s="15">
        <f t="shared" si="70"/>
        <v>16.237134411458737</v>
      </c>
      <c r="H157" s="15">
        <f t="shared" si="70"/>
        <v>18.414405774165061</v>
      </c>
      <c r="I157" s="15">
        <f t="shared" si="70"/>
        <v>20.591677136871382</v>
      </c>
      <c r="J157" s="15">
        <f t="shared" si="70"/>
        <v>22.768948499577707</v>
      </c>
      <c r="K157" s="15">
        <f t="shared" si="70"/>
        <v>24.946219862284032</v>
      </c>
      <c r="L157" s="15">
        <f t="shared" si="70"/>
        <v>27.123491224990353</v>
      </c>
      <c r="M157" s="15">
        <f t="shared" si="70"/>
        <v>29.300762587696678</v>
      </c>
      <c r="N157" s="15">
        <f t="shared" si="69"/>
        <v>24.075311317201503</v>
      </c>
      <c r="O157" s="84">
        <f t="shared" si="58"/>
        <v>0</v>
      </c>
      <c r="P157" s="84">
        <f t="shared" si="59"/>
        <v>3.2659070440594857</v>
      </c>
      <c r="Q157" s="84">
        <f t="shared" si="60"/>
        <v>3.2659070440594857</v>
      </c>
      <c r="R157" s="15">
        <f t="shared" si="61"/>
        <v>-6.5318140881189715</v>
      </c>
      <c r="S157" s="15">
        <f t="shared" si="62"/>
        <v>-4.3545427254126476</v>
      </c>
      <c r="T157" s="15">
        <f t="shared" si="63"/>
        <v>-2.1772713627063238</v>
      </c>
      <c r="U157" s="16">
        <v>0</v>
      </c>
      <c r="V157" s="15">
        <f t="shared" si="64"/>
        <v>2.1772713627063238</v>
      </c>
      <c r="W157" s="15">
        <f t="shared" si="65"/>
        <v>4.3545427254126476</v>
      </c>
      <c r="X157" s="15">
        <f t="shared" si="66"/>
        <v>6.5318140881189715</v>
      </c>
    </row>
    <row r="158" spans="1:24">
      <c r="A158" s="14">
        <f>'b（手動）計算用'!D42</f>
        <v>47</v>
      </c>
      <c r="B158" s="84">
        <f t="shared" si="67"/>
        <v>23.045015598252487</v>
      </c>
      <c r="C158" s="84">
        <f t="shared" si="46"/>
        <v>0</v>
      </c>
      <c r="D158" s="84">
        <f t="shared" si="47"/>
        <v>0</v>
      </c>
      <c r="E158" s="84">
        <f t="shared" si="48"/>
        <v>0</v>
      </c>
      <c r="F158" s="84">
        <f t="shared" si="49"/>
        <v>23.045015598252487</v>
      </c>
      <c r="G158" s="15">
        <f t="shared" si="70"/>
        <v>16.461273993904616</v>
      </c>
      <c r="H158" s="15">
        <f t="shared" si="70"/>
        <v>18.655854528687239</v>
      </c>
      <c r="I158" s="15">
        <f t="shared" si="70"/>
        <v>20.850435063469863</v>
      </c>
      <c r="J158" s="15">
        <f t="shared" si="70"/>
        <v>23.045015598252487</v>
      </c>
      <c r="K158" s="15">
        <f t="shared" si="70"/>
        <v>25.239596133035111</v>
      </c>
      <c r="L158" s="15">
        <f t="shared" si="70"/>
        <v>27.434176667817734</v>
      </c>
      <c r="M158" s="15">
        <f t="shared" si="70"/>
        <v>29.628757202600358</v>
      </c>
      <c r="N158" s="15">
        <f t="shared" si="69"/>
        <v>24.361763919122062</v>
      </c>
      <c r="O158" s="84">
        <f t="shared" si="58"/>
        <v>0</v>
      </c>
      <c r="P158" s="84">
        <f t="shared" si="59"/>
        <v>3.2918708021739351</v>
      </c>
      <c r="Q158" s="84">
        <f t="shared" si="60"/>
        <v>3.2918708021739351</v>
      </c>
      <c r="R158" s="15">
        <f t="shared" si="61"/>
        <v>-6.5837416043478703</v>
      </c>
      <c r="S158" s="15">
        <f t="shared" si="62"/>
        <v>-4.3891610695652465</v>
      </c>
      <c r="T158" s="15">
        <f t="shared" si="63"/>
        <v>-2.1945805347826233</v>
      </c>
      <c r="U158" s="16">
        <v>0</v>
      </c>
      <c r="V158" s="15">
        <f t="shared" si="64"/>
        <v>2.1945805347826233</v>
      </c>
      <c r="W158" s="15">
        <f t="shared" si="65"/>
        <v>4.3891610695652465</v>
      </c>
      <c r="X158" s="15">
        <f t="shared" si="66"/>
        <v>6.5837416043478703</v>
      </c>
    </row>
    <row r="159" spans="1:24">
      <c r="A159" s="14">
        <f>'b（手動）計算用'!D43</f>
        <v>48</v>
      </c>
      <c r="B159" s="84">
        <f t="shared" si="67"/>
        <v>23.314018299491597</v>
      </c>
      <c r="C159" s="84">
        <f t="shared" si="46"/>
        <v>0</v>
      </c>
      <c r="D159" s="84">
        <f t="shared" si="47"/>
        <v>0</v>
      </c>
      <c r="E159" s="84">
        <f t="shared" si="48"/>
        <v>0</v>
      </c>
      <c r="F159" s="84">
        <f t="shared" si="49"/>
        <v>23.314018299491597</v>
      </c>
      <c r="G159" s="15">
        <f t="shared" si="70"/>
        <v>16.681418556965379</v>
      </c>
      <c r="H159" s="15">
        <f t="shared" si="70"/>
        <v>18.892285137807452</v>
      </c>
      <c r="I159" s="15">
        <f t="shared" si="70"/>
        <v>21.103151718649524</v>
      </c>
      <c r="J159" s="15">
        <f t="shared" si="70"/>
        <v>23.314018299491597</v>
      </c>
      <c r="K159" s="15">
        <f t="shared" si="70"/>
        <v>25.524884880333669</v>
      </c>
      <c r="L159" s="15">
        <f t="shared" si="70"/>
        <v>27.735751461175742</v>
      </c>
      <c r="M159" s="15">
        <f t="shared" si="70"/>
        <v>29.946618042017814</v>
      </c>
      <c r="N159" s="15">
        <f t="shared" si="69"/>
        <v>24.64053824799684</v>
      </c>
      <c r="O159" s="84">
        <f t="shared" si="58"/>
        <v>0</v>
      </c>
      <c r="P159" s="84">
        <f t="shared" si="59"/>
        <v>3.3162998712631082</v>
      </c>
      <c r="Q159" s="84">
        <f t="shared" si="60"/>
        <v>3.3162998712631082</v>
      </c>
      <c r="R159" s="15">
        <f t="shared" si="61"/>
        <v>-6.6325997425262164</v>
      </c>
      <c r="S159" s="15">
        <f t="shared" si="62"/>
        <v>-4.421733161684144</v>
      </c>
      <c r="T159" s="15">
        <f t="shared" si="63"/>
        <v>-2.210866580842072</v>
      </c>
      <c r="U159" s="16">
        <v>0</v>
      </c>
      <c r="V159" s="15">
        <f t="shared" si="64"/>
        <v>2.210866580842072</v>
      </c>
      <c r="W159" s="15">
        <f t="shared" si="65"/>
        <v>4.421733161684144</v>
      </c>
      <c r="X159" s="15">
        <f t="shared" si="66"/>
        <v>6.6325997425262164</v>
      </c>
    </row>
    <row r="160" spans="1:24">
      <c r="A160" s="14">
        <f>'b（手動）計算用'!D44</f>
        <v>49</v>
      </c>
      <c r="B160" s="84">
        <f t="shared" si="67"/>
        <v>23.576127451341517</v>
      </c>
      <c r="C160" s="84">
        <f t="shared" si="46"/>
        <v>0</v>
      </c>
      <c r="D160" s="84">
        <f t="shared" si="47"/>
        <v>0</v>
      </c>
      <c r="E160" s="84">
        <f t="shared" si="48"/>
        <v>0</v>
      </c>
      <c r="F160" s="84">
        <f t="shared" si="49"/>
        <v>23.576127451341517</v>
      </c>
      <c r="G160" s="15">
        <f t="shared" si="70"/>
        <v>16.897604316729986</v>
      </c>
      <c r="H160" s="15">
        <f t="shared" si="70"/>
        <v>19.123778694933829</v>
      </c>
      <c r="I160" s="15">
        <f t="shared" si="70"/>
        <v>21.349953073137673</v>
      </c>
      <c r="J160" s="15">
        <f t="shared" si="70"/>
        <v>23.576127451341517</v>
      </c>
      <c r="K160" s="15">
        <f t="shared" si="70"/>
        <v>25.80230182954536</v>
      </c>
      <c r="L160" s="15">
        <f t="shared" si="70"/>
        <v>28.028476207749204</v>
      </c>
      <c r="M160" s="15">
        <f t="shared" si="70"/>
        <v>30.254650585953048</v>
      </c>
      <c r="N160" s="15">
        <f t="shared" si="69"/>
        <v>24.911832078263824</v>
      </c>
      <c r="O160" s="84">
        <f t="shared" si="58"/>
        <v>0</v>
      </c>
      <c r="P160" s="84">
        <f t="shared" si="59"/>
        <v>3.339261567305766</v>
      </c>
      <c r="Q160" s="84">
        <f t="shared" si="60"/>
        <v>3.339261567305766</v>
      </c>
      <c r="R160" s="15">
        <f t="shared" si="61"/>
        <v>-6.6785231346115319</v>
      </c>
      <c r="S160" s="15">
        <f t="shared" si="62"/>
        <v>-4.4523487564076882</v>
      </c>
      <c r="T160" s="15">
        <f t="shared" si="63"/>
        <v>-2.2261743782038441</v>
      </c>
      <c r="U160" s="16">
        <v>0</v>
      </c>
      <c r="V160" s="15">
        <f t="shared" si="64"/>
        <v>2.2261743782038441</v>
      </c>
      <c r="W160" s="15">
        <f t="shared" si="65"/>
        <v>4.4523487564076882</v>
      </c>
      <c r="X160" s="15">
        <f t="shared" si="66"/>
        <v>6.6785231346115319</v>
      </c>
    </row>
    <row r="161" spans="1:24">
      <c r="A161" s="14">
        <f>'b（手動）計算用'!D45</f>
        <v>50</v>
      </c>
      <c r="B161" s="84">
        <f t="shared" si="67"/>
        <v>23.831510490121165</v>
      </c>
      <c r="C161" s="84">
        <f t="shared" si="46"/>
        <v>0</v>
      </c>
      <c r="D161" s="84">
        <f t="shared" si="47"/>
        <v>0</v>
      </c>
      <c r="E161" s="84">
        <f t="shared" si="48"/>
        <v>0</v>
      </c>
      <c r="F161" s="84">
        <f t="shared" si="49"/>
        <v>23.831510490121165</v>
      </c>
      <c r="G161" s="15">
        <f t="shared" si="70"/>
        <v>17.109863732219157</v>
      </c>
      <c r="H161" s="15">
        <f t="shared" si="70"/>
        <v>19.350412651519825</v>
      </c>
      <c r="I161" s="15">
        <f t="shared" si="70"/>
        <v>21.590961570820497</v>
      </c>
      <c r="J161" s="15">
        <f t="shared" si="70"/>
        <v>23.831510490121165</v>
      </c>
      <c r="K161" s="15">
        <f t="shared" si="70"/>
        <v>26.072059409421833</v>
      </c>
      <c r="L161" s="15">
        <f t="shared" si="70"/>
        <v>28.312608328722504</v>
      </c>
      <c r="M161" s="15">
        <f t="shared" si="70"/>
        <v>30.553157248023172</v>
      </c>
      <c r="N161" s="15">
        <f t="shared" si="69"/>
        <v>25.175839841701567</v>
      </c>
      <c r="O161" s="84">
        <f t="shared" si="58"/>
        <v>0</v>
      </c>
      <c r="P161" s="84">
        <f t="shared" si="59"/>
        <v>3.3608233789510034</v>
      </c>
      <c r="Q161" s="84">
        <f t="shared" si="60"/>
        <v>3.3608233789510034</v>
      </c>
      <c r="R161" s="15">
        <f t="shared" si="61"/>
        <v>-6.7216467579020067</v>
      </c>
      <c r="S161" s="15">
        <f t="shared" si="62"/>
        <v>-4.4810978386013378</v>
      </c>
      <c r="T161" s="15">
        <f t="shared" si="63"/>
        <v>-2.2405489193006689</v>
      </c>
      <c r="U161" s="16">
        <v>0</v>
      </c>
      <c r="V161" s="15">
        <f t="shared" si="64"/>
        <v>2.2405489193006689</v>
      </c>
      <c r="W161" s="15">
        <f t="shared" si="65"/>
        <v>4.4810978386013378</v>
      </c>
      <c r="X161" s="15">
        <f t="shared" si="66"/>
        <v>6.7216467579020067</v>
      </c>
    </row>
    <row r="162" spans="1:24">
      <c r="A162" s="14">
        <f>'b（手動）計算用'!D46</f>
        <v>51</v>
      </c>
      <c r="B162" s="84">
        <f t="shared" si="67"/>
        <v>24.08033144738096</v>
      </c>
      <c r="C162" s="84">
        <f t="shared" si="46"/>
        <v>0</v>
      </c>
      <c r="D162" s="84">
        <f t="shared" si="47"/>
        <v>0</v>
      </c>
      <c r="E162" s="84">
        <f t="shared" si="48"/>
        <v>0</v>
      </c>
      <c r="F162" s="84">
        <f t="shared" si="49"/>
        <v>24.08033144738096</v>
      </c>
      <c r="G162" s="15">
        <f t="shared" si="70"/>
        <v>17.318226531841518</v>
      </c>
      <c r="H162" s="15">
        <f t="shared" si="70"/>
        <v>19.572261503687997</v>
      </c>
      <c r="I162" s="15">
        <f t="shared" si="70"/>
        <v>21.82629647553448</v>
      </c>
      <c r="J162" s="15">
        <f t="shared" si="70"/>
        <v>24.08033144738096</v>
      </c>
      <c r="K162" s="15">
        <f t="shared" si="70"/>
        <v>26.33436641922744</v>
      </c>
      <c r="L162" s="15">
        <f t="shared" si="70"/>
        <v>28.588401391073923</v>
      </c>
      <c r="M162" s="15">
        <f t="shared" si="70"/>
        <v>30.842436362920402</v>
      </c>
      <c r="N162" s="15">
        <f t="shared" si="69"/>
        <v>25.432752430488847</v>
      </c>
      <c r="O162" s="84">
        <f t="shared" si="58"/>
        <v>0</v>
      </c>
      <c r="P162" s="84">
        <f t="shared" si="59"/>
        <v>3.3810524577697207</v>
      </c>
      <c r="Q162" s="84">
        <f t="shared" si="60"/>
        <v>3.3810524577697207</v>
      </c>
      <c r="R162" s="15">
        <f t="shared" si="61"/>
        <v>-6.7621049155394415</v>
      </c>
      <c r="S162" s="15">
        <f t="shared" si="62"/>
        <v>-4.508069943692961</v>
      </c>
      <c r="T162" s="15">
        <f t="shared" si="63"/>
        <v>-2.2540349718464805</v>
      </c>
      <c r="U162" s="16">
        <v>0</v>
      </c>
      <c r="V162" s="15">
        <f t="shared" si="64"/>
        <v>2.2540349718464805</v>
      </c>
      <c r="W162" s="15">
        <f t="shared" si="65"/>
        <v>4.508069943692961</v>
      </c>
      <c r="X162" s="15">
        <f t="shared" si="66"/>
        <v>6.7621049155394415</v>
      </c>
    </row>
    <row r="163" spans="1:24">
      <c r="A163" s="14">
        <f>'b（手動）計算用'!D47</f>
        <v>52</v>
      </c>
      <c r="B163" s="84">
        <f t="shared" si="67"/>
        <v>24.322750963751457</v>
      </c>
      <c r="C163" s="84">
        <f t="shared" si="46"/>
        <v>0</v>
      </c>
      <c r="D163" s="84">
        <f t="shared" si="47"/>
        <v>0</v>
      </c>
      <c r="E163" s="84">
        <f t="shared" si="48"/>
        <v>0</v>
      </c>
      <c r="F163" s="84">
        <f t="shared" si="49"/>
        <v>24.322750963751457</v>
      </c>
      <c r="G163" s="15">
        <f t="shared" si="70"/>
        <v>17.522720605667011</v>
      </c>
      <c r="H163" s="15">
        <f t="shared" si="70"/>
        <v>19.789397391695157</v>
      </c>
      <c r="I163" s="15">
        <f t="shared" si="70"/>
        <v>22.056074177723307</v>
      </c>
      <c r="J163" s="15">
        <f t="shared" si="70"/>
        <v>24.322750963751457</v>
      </c>
      <c r="K163" s="15">
        <f t="shared" si="70"/>
        <v>26.589427749779606</v>
      </c>
      <c r="L163" s="15">
        <f t="shared" si="70"/>
        <v>28.856104535807756</v>
      </c>
      <c r="M163" s="15">
        <f t="shared" si="70"/>
        <v>31.122781321835902</v>
      </c>
      <c r="N163" s="15">
        <f t="shared" si="69"/>
        <v>25.682757035368347</v>
      </c>
      <c r="O163" s="84">
        <f t="shared" si="58"/>
        <v>0</v>
      </c>
      <c r="P163" s="84">
        <f t="shared" si="59"/>
        <v>3.4000151790422235</v>
      </c>
      <c r="Q163" s="84">
        <f t="shared" si="60"/>
        <v>3.4000151790422235</v>
      </c>
      <c r="R163" s="15">
        <f t="shared" si="61"/>
        <v>-6.800030358084447</v>
      </c>
      <c r="S163" s="15">
        <f t="shared" si="62"/>
        <v>-4.5333535720562983</v>
      </c>
      <c r="T163" s="15">
        <f t="shared" si="63"/>
        <v>-2.2666767860281491</v>
      </c>
      <c r="U163" s="16">
        <v>0</v>
      </c>
      <c r="V163" s="15">
        <f t="shared" si="64"/>
        <v>2.2666767860281491</v>
      </c>
      <c r="W163" s="15">
        <f t="shared" si="65"/>
        <v>4.5333535720562983</v>
      </c>
      <c r="X163" s="15">
        <f t="shared" si="66"/>
        <v>6.800030358084447</v>
      </c>
    </row>
    <row r="164" spans="1:24">
      <c r="A164" s="14">
        <f>'b（手動）計算用'!D48</f>
        <v>53</v>
      </c>
      <c r="B164" s="84">
        <f t="shared" si="67"/>
        <v>24.558926308807333</v>
      </c>
      <c r="C164" s="84">
        <f t="shared" si="46"/>
        <v>0</v>
      </c>
      <c r="D164" s="84">
        <f t="shared" si="47"/>
        <v>0</v>
      </c>
      <c r="E164" s="84">
        <f t="shared" si="48"/>
        <v>0</v>
      </c>
      <c r="F164" s="84">
        <f t="shared" si="49"/>
        <v>24.558926308807333</v>
      </c>
      <c r="G164" s="15">
        <f t="shared" si="70"/>
        <v>17.723372771220411</v>
      </c>
      <c r="H164" s="15">
        <f t="shared" si="70"/>
        <v>20.001890617082719</v>
      </c>
      <c r="I164" s="15">
        <f t="shared" si="70"/>
        <v>22.280408462945026</v>
      </c>
      <c r="J164" s="15">
        <f t="shared" si="70"/>
        <v>24.558926308807333</v>
      </c>
      <c r="K164" s="15">
        <f t="shared" si="70"/>
        <v>26.83744415466964</v>
      </c>
      <c r="L164" s="15">
        <f t="shared" si="70"/>
        <v>29.115962000531947</v>
      </c>
      <c r="M164" s="15">
        <f t="shared" si="70"/>
        <v>31.394479846394255</v>
      </c>
      <c r="N164" s="15">
        <f t="shared" si="69"/>
        <v>25.926037016324717</v>
      </c>
      <c r="O164" s="84">
        <f t="shared" si="58"/>
        <v>0</v>
      </c>
      <c r="P164" s="84">
        <f t="shared" si="59"/>
        <v>3.4177767687934599</v>
      </c>
      <c r="Q164" s="84">
        <f t="shared" si="60"/>
        <v>3.4177767687934599</v>
      </c>
      <c r="R164" s="15">
        <f t="shared" si="61"/>
        <v>-6.8355535375869199</v>
      </c>
      <c r="S164" s="15">
        <f t="shared" si="62"/>
        <v>-4.5570356917246135</v>
      </c>
      <c r="T164" s="15">
        <f t="shared" si="63"/>
        <v>-2.2785178458623068</v>
      </c>
      <c r="U164" s="16">
        <v>0</v>
      </c>
      <c r="V164" s="15">
        <f t="shared" si="64"/>
        <v>2.2785178458623068</v>
      </c>
      <c r="W164" s="15">
        <f t="shared" si="65"/>
        <v>4.5570356917246135</v>
      </c>
      <c r="X164" s="15">
        <f t="shared" si="66"/>
        <v>6.8355535375869199</v>
      </c>
    </row>
    <row r="165" spans="1:24">
      <c r="A165" s="14">
        <f>'b（手動）計算用'!D49</f>
        <v>54</v>
      </c>
      <c r="B165" s="84">
        <f t="shared" si="67"/>
        <v>24.789011406173802</v>
      </c>
      <c r="C165" s="84">
        <f t="shared" si="46"/>
        <v>0</v>
      </c>
      <c r="D165" s="84">
        <f t="shared" si="47"/>
        <v>0</v>
      </c>
      <c r="E165" s="84">
        <f t="shared" si="48"/>
        <v>0</v>
      </c>
      <c r="F165" s="84">
        <f t="shared" si="49"/>
        <v>24.789011406173802</v>
      </c>
      <c r="G165" s="15">
        <f t="shared" si="70"/>
        <v>17.920209421629867</v>
      </c>
      <c r="H165" s="15">
        <f t="shared" si="70"/>
        <v>20.209810083144511</v>
      </c>
      <c r="I165" s="15">
        <f t="shared" si="70"/>
        <v>22.499410744659158</v>
      </c>
      <c r="J165" s="15">
        <f t="shared" si="70"/>
        <v>24.789011406173802</v>
      </c>
      <c r="K165" s="15">
        <f t="shared" si="70"/>
        <v>27.078612067688447</v>
      </c>
      <c r="L165" s="15">
        <f t="shared" si="70"/>
        <v>29.368212729203094</v>
      </c>
      <c r="M165" s="15">
        <f t="shared" si="70"/>
        <v>31.657813390717738</v>
      </c>
      <c r="N165" s="15">
        <f t="shared" si="69"/>
        <v>26.162771803082592</v>
      </c>
      <c r="O165" s="84">
        <f t="shared" si="58"/>
        <v>0</v>
      </c>
      <c r="P165" s="84">
        <f t="shared" si="59"/>
        <v>3.4344009922719683</v>
      </c>
      <c r="Q165" s="84">
        <f t="shared" si="60"/>
        <v>3.4344009922719683</v>
      </c>
      <c r="R165" s="15">
        <f t="shared" si="61"/>
        <v>-6.8688019845439365</v>
      </c>
      <c r="S165" s="15">
        <f t="shared" si="62"/>
        <v>-4.5792013230292907</v>
      </c>
      <c r="T165" s="15">
        <f t="shared" si="63"/>
        <v>-2.2896006615146454</v>
      </c>
      <c r="U165" s="16">
        <v>0</v>
      </c>
      <c r="V165" s="15">
        <f t="shared" si="64"/>
        <v>2.2896006615146454</v>
      </c>
      <c r="W165" s="15">
        <f t="shared" si="65"/>
        <v>4.5792013230292907</v>
      </c>
      <c r="X165" s="15">
        <f t="shared" si="66"/>
        <v>6.8688019845439365</v>
      </c>
    </row>
    <row r="166" spans="1:24">
      <c r="A166" s="14">
        <f>'b（手動）計算用'!D50</f>
        <v>55</v>
      </c>
      <c r="B166" s="84">
        <f t="shared" si="67"/>
        <v>25.013156863190986</v>
      </c>
      <c r="C166" s="84">
        <f t="shared" si="46"/>
        <v>0</v>
      </c>
      <c r="D166" s="84">
        <f t="shared" si="47"/>
        <v>0</v>
      </c>
      <c r="E166" s="84">
        <f t="shared" si="48"/>
        <v>0</v>
      </c>
      <c r="F166" s="84">
        <f t="shared" si="49"/>
        <v>25.013156863190986</v>
      </c>
      <c r="G166" s="15">
        <f t="shared" si="70"/>
        <v>18.113257065661411</v>
      </c>
      <c r="H166" s="15">
        <f t="shared" si="70"/>
        <v>20.413223664837936</v>
      </c>
      <c r="I166" s="15">
        <f t="shared" si="70"/>
        <v>22.713190264014461</v>
      </c>
      <c r="J166" s="15">
        <f t="shared" si="70"/>
        <v>25.013156863190986</v>
      </c>
      <c r="K166" s="15">
        <f t="shared" si="70"/>
        <v>27.313123462367511</v>
      </c>
      <c r="L166" s="15">
        <f t="shared" si="70"/>
        <v>29.613090061544035</v>
      </c>
      <c r="M166" s="15">
        <f t="shared" si="70"/>
        <v>31.91305666072056</v>
      </c>
      <c r="N166" s="15">
        <f t="shared" si="69"/>
        <v>26.393136822696903</v>
      </c>
      <c r="O166" s="84">
        <f t="shared" si="58"/>
        <v>0</v>
      </c>
      <c r="P166" s="84">
        <f t="shared" si="59"/>
        <v>3.4499498987647876</v>
      </c>
      <c r="Q166" s="84">
        <f t="shared" si="60"/>
        <v>3.4499498987647876</v>
      </c>
      <c r="R166" s="15">
        <f t="shared" si="61"/>
        <v>-6.8998997975295753</v>
      </c>
      <c r="S166" s="15">
        <f t="shared" si="62"/>
        <v>-4.5999331983530505</v>
      </c>
      <c r="T166" s="15">
        <f t="shared" si="63"/>
        <v>-2.2999665991765252</v>
      </c>
      <c r="U166" s="16">
        <v>0</v>
      </c>
      <c r="V166" s="15">
        <f t="shared" si="64"/>
        <v>2.2999665991765252</v>
      </c>
      <c r="W166" s="15">
        <f t="shared" si="65"/>
        <v>4.5999331983530505</v>
      </c>
      <c r="X166" s="15">
        <f t="shared" si="66"/>
        <v>6.8998997975295753</v>
      </c>
    </row>
    <row r="167" spans="1:24">
      <c r="A167" s="14">
        <f>'b（手動）計算用'!D51</f>
        <v>56</v>
      </c>
      <c r="B167" s="84">
        <f t="shared" si="67"/>
        <v>25.231510004529163</v>
      </c>
      <c r="C167" s="84">
        <f t="shared" si="46"/>
        <v>0</v>
      </c>
      <c r="D167" s="84">
        <f t="shared" si="47"/>
        <v>0</v>
      </c>
      <c r="E167" s="84">
        <f t="shared" si="48"/>
        <v>0</v>
      </c>
      <c r="F167" s="84">
        <f t="shared" si="49"/>
        <v>25.231510004529163</v>
      </c>
      <c r="G167" s="15">
        <f t="shared" si="70"/>
        <v>18.302542769503415</v>
      </c>
      <c r="H167" s="15">
        <f t="shared" si="70"/>
        <v>20.612198514511999</v>
      </c>
      <c r="I167" s="15">
        <f t="shared" si="70"/>
        <v>22.921854259520579</v>
      </c>
      <c r="J167" s="15">
        <f t="shared" si="70"/>
        <v>25.231510004529163</v>
      </c>
      <c r="K167" s="15">
        <f t="shared" si="70"/>
        <v>27.541165749537747</v>
      </c>
      <c r="L167" s="15">
        <f t="shared" si="70"/>
        <v>29.850821494546327</v>
      </c>
      <c r="M167" s="15">
        <f t="shared" si="70"/>
        <v>32.160477239554908</v>
      </c>
      <c r="N167" s="15">
        <f t="shared" si="69"/>
        <v>26.617303451534312</v>
      </c>
      <c r="O167" s="84">
        <f t="shared" si="58"/>
        <v>0</v>
      </c>
      <c r="P167" s="84">
        <f t="shared" si="59"/>
        <v>3.4644836175128737</v>
      </c>
      <c r="Q167" s="84">
        <f t="shared" si="60"/>
        <v>3.4644836175128737</v>
      </c>
      <c r="R167" s="15">
        <f t="shared" si="61"/>
        <v>-6.9289672350257474</v>
      </c>
      <c r="S167" s="15">
        <f t="shared" si="62"/>
        <v>-4.6193114900171652</v>
      </c>
      <c r="T167" s="15">
        <f t="shared" si="63"/>
        <v>-2.3096557450085826</v>
      </c>
      <c r="U167" s="16">
        <v>0</v>
      </c>
      <c r="V167" s="15">
        <f t="shared" si="64"/>
        <v>2.3096557450085826</v>
      </c>
      <c r="W167" s="15">
        <f t="shared" si="65"/>
        <v>4.6193114900171652</v>
      </c>
      <c r="X167" s="15">
        <f t="shared" si="66"/>
        <v>6.9289672350257474</v>
      </c>
    </row>
    <row r="168" spans="1:24">
      <c r="A168" s="14">
        <f>'b（手動）計算用'!D52</f>
        <v>57</v>
      </c>
      <c r="B168" s="84">
        <f t="shared" si="67"/>
        <v>25.444214909216207</v>
      </c>
      <c r="C168" s="84">
        <f t="shared" si="46"/>
        <v>0</v>
      </c>
      <c r="D168" s="84">
        <f t="shared" si="47"/>
        <v>0</v>
      </c>
      <c r="E168" s="84">
        <f t="shared" si="48"/>
        <v>0</v>
      </c>
      <c r="F168" s="84">
        <f t="shared" si="49"/>
        <v>25.444214909216207</v>
      </c>
      <c r="G168" s="15">
        <f t="shared" si="70"/>
        <v>18.48809451020367</v>
      </c>
      <c r="H168" s="15">
        <f t="shared" si="70"/>
        <v>20.806801309874515</v>
      </c>
      <c r="I168" s="15">
        <f t="shared" si="70"/>
        <v>23.125508109545361</v>
      </c>
      <c r="J168" s="15">
        <f t="shared" si="70"/>
        <v>25.444214909216207</v>
      </c>
      <c r="K168" s="15">
        <f t="shared" si="70"/>
        <v>27.762921708887053</v>
      </c>
      <c r="L168" s="15">
        <f t="shared" si="70"/>
        <v>30.081628508557898</v>
      </c>
      <c r="M168" s="15">
        <f t="shared" si="70"/>
        <v>32.400335308228748</v>
      </c>
      <c r="N168" s="15">
        <f t="shared" si="69"/>
        <v>26.835438989018716</v>
      </c>
      <c r="O168" s="84">
        <f t="shared" si="58"/>
        <v>0</v>
      </c>
      <c r="P168" s="84">
        <f t="shared" si="59"/>
        <v>3.478060199506269</v>
      </c>
      <c r="Q168" s="84">
        <f t="shared" si="60"/>
        <v>3.478060199506269</v>
      </c>
      <c r="R168" s="15">
        <f t="shared" si="61"/>
        <v>-6.956120399012538</v>
      </c>
      <c r="S168" s="15">
        <f t="shared" si="62"/>
        <v>-4.6374135993416923</v>
      </c>
      <c r="T168" s="15">
        <f t="shared" si="63"/>
        <v>-2.3187067996708461</v>
      </c>
      <c r="U168" s="16">
        <v>0</v>
      </c>
      <c r="V168" s="15">
        <f t="shared" si="64"/>
        <v>2.3187067996708461</v>
      </c>
      <c r="W168" s="15">
        <f t="shared" si="65"/>
        <v>4.6374135993416923</v>
      </c>
      <c r="X168" s="15">
        <f t="shared" si="66"/>
        <v>6.956120399012538</v>
      </c>
    </row>
    <row r="169" spans="1:24">
      <c r="A169" s="14">
        <f>'b（手動）計算用'!D53</f>
        <v>58</v>
      </c>
      <c r="B169" s="84">
        <f t="shared" si="67"/>
        <v>25.651412450598098</v>
      </c>
      <c r="C169" s="84">
        <f t="shared" si="46"/>
        <v>0</v>
      </c>
      <c r="D169" s="84">
        <f t="shared" si="47"/>
        <v>0</v>
      </c>
      <c r="E169" s="84">
        <f t="shared" si="48"/>
        <v>0</v>
      </c>
      <c r="F169" s="84">
        <f t="shared" si="49"/>
        <v>25.651412450598098</v>
      </c>
      <c r="G169" s="15">
        <f t="shared" si="70"/>
        <v>18.669941450468247</v>
      </c>
      <c r="H169" s="15">
        <f t="shared" si="70"/>
        <v>20.99709845051153</v>
      </c>
      <c r="I169" s="15">
        <f t="shared" si="70"/>
        <v>23.324255450554816</v>
      </c>
      <c r="J169" s="15">
        <f t="shared" si="70"/>
        <v>25.651412450598098</v>
      </c>
      <c r="K169" s="15">
        <f t="shared" si="70"/>
        <v>27.97856945064138</v>
      </c>
      <c r="L169" s="15">
        <f t="shared" si="70"/>
        <v>30.305726450684666</v>
      </c>
      <c r="M169" s="15">
        <f t="shared" si="70"/>
        <v>32.632883450727945</v>
      </c>
      <c r="N169" s="15">
        <f t="shared" si="69"/>
        <v>27.047706650624068</v>
      </c>
      <c r="O169" s="84">
        <f t="shared" si="58"/>
        <v>0</v>
      </c>
      <c r="P169" s="84">
        <f t="shared" si="59"/>
        <v>3.4907355000649249</v>
      </c>
      <c r="Q169" s="84">
        <f t="shared" si="60"/>
        <v>3.4907355000649249</v>
      </c>
      <c r="R169" s="15">
        <f t="shared" si="61"/>
        <v>-6.9814710001298499</v>
      </c>
      <c r="S169" s="15">
        <f t="shared" si="62"/>
        <v>-4.6543140000865666</v>
      </c>
      <c r="T169" s="15">
        <f t="shared" si="63"/>
        <v>-2.3271570000432833</v>
      </c>
      <c r="U169" s="16">
        <v>0</v>
      </c>
      <c r="V169" s="15">
        <f t="shared" si="64"/>
        <v>2.3271570000432833</v>
      </c>
      <c r="W169" s="15">
        <f t="shared" si="65"/>
        <v>4.6543140000865666</v>
      </c>
      <c r="X169" s="15">
        <f t="shared" si="66"/>
        <v>6.9814710001298499</v>
      </c>
    </row>
    <row r="170" spans="1:24">
      <c r="A170" s="14">
        <f>'b（手動）計算用'!D54</f>
        <v>59</v>
      </c>
      <c r="B170" s="84">
        <f t="shared" si="67"/>
        <v>25.853240338806643</v>
      </c>
      <c r="C170" s="84">
        <f t="shared" si="46"/>
        <v>0</v>
      </c>
      <c r="D170" s="84">
        <f t="shared" si="47"/>
        <v>0</v>
      </c>
      <c r="E170" s="84">
        <f t="shared" si="48"/>
        <v>0</v>
      </c>
      <c r="F170" s="84">
        <f t="shared" si="49"/>
        <v>25.853240338806643</v>
      </c>
      <c r="G170" s="15">
        <f t="shared" si="70"/>
        <v>18.848114144162011</v>
      </c>
      <c r="H170" s="15">
        <f t="shared" si="70"/>
        <v>21.183156209043556</v>
      </c>
      <c r="I170" s="15">
        <f t="shared" si="70"/>
        <v>23.518198273925098</v>
      </c>
      <c r="J170" s="15">
        <f t="shared" si="70"/>
        <v>25.853240338806643</v>
      </c>
      <c r="K170" s="15">
        <f t="shared" si="70"/>
        <v>28.188282403688188</v>
      </c>
      <c r="L170" s="15">
        <f t="shared" si="70"/>
        <v>30.523324468569729</v>
      </c>
      <c r="M170" s="15">
        <f t="shared" si="70"/>
        <v>32.858366533451274</v>
      </c>
      <c r="N170" s="15">
        <f t="shared" si="69"/>
        <v>27.25426557773557</v>
      </c>
      <c r="O170" s="84">
        <f t="shared" si="58"/>
        <v>0</v>
      </c>
      <c r="P170" s="84">
        <f t="shared" si="59"/>
        <v>3.5025630973223154</v>
      </c>
      <c r="Q170" s="84">
        <f t="shared" si="60"/>
        <v>3.5025630973223154</v>
      </c>
      <c r="R170" s="15">
        <f t="shared" si="61"/>
        <v>-7.0051261946446308</v>
      </c>
      <c r="S170" s="15">
        <f t="shared" si="62"/>
        <v>-4.6700841297630875</v>
      </c>
      <c r="T170" s="15">
        <f t="shared" si="63"/>
        <v>-2.3350420648815438</v>
      </c>
      <c r="U170" s="16">
        <v>0</v>
      </c>
      <c r="V170" s="15">
        <f t="shared" si="64"/>
        <v>2.3350420648815438</v>
      </c>
      <c r="W170" s="15">
        <f t="shared" si="65"/>
        <v>4.6700841297630875</v>
      </c>
      <c r="X170" s="15">
        <f t="shared" si="66"/>
        <v>7.0051261946446308</v>
      </c>
    </row>
    <row r="171" spans="1:24">
      <c r="A171" s="14">
        <f>'b（手動）計算用'!D55</f>
        <v>60</v>
      </c>
      <c r="B171" s="84">
        <f t="shared" si="67"/>
        <v>26.049833165355018</v>
      </c>
      <c r="C171" s="84">
        <f t="shared" si="46"/>
        <v>0</v>
      </c>
      <c r="D171" s="84">
        <f t="shared" si="47"/>
        <v>0</v>
      </c>
      <c r="E171" s="84">
        <f t="shared" si="48"/>
        <v>0</v>
      </c>
      <c r="F171" s="84">
        <f t="shared" si="49"/>
        <v>26.049833165355018</v>
      </c>
      <c r="G171" s="15">
        <f t="shared" si="70"/>
        <v>19.022644681352297</v>
      </c>
      <c r="H171" s="15">
        <f t="shared" si="70"/>
        <v>21.365040842686536</v>
      </c>
      <c r="I171" s="15">
        <f t="shared" si="70"/>
        <v>23.707437004020779</v>
      </c>
      <c r="J171" s="15">
        <f t="shared" si="70"/>
        <v>26.049833165355018</v>
      </c>
      <c r="K171" s="15">
        <f t="shared" si="70"/>
        <v>28.392229326689257</v>
      </c>
      <c r="L171" s="15">
        <f t="shared" si="70"/>
        <v>30.7346254880235</v>
      </c>
      <c r="M171" s="15">
        <f t="shared" si="70"/>
        <v>33.077021649357739</v>
      </c>
      <c r="N171" s="15">
        <f t="shared" si="69"/>
        <v>27.455270862155562</v>
      </c>
      <c r="O171" s="84">
        <f t="shared" si="58"/>
        <v>0</v>
      </c>
      <c r="P171" s="84">
        <f t="shared" si="59"/>
        <v>3.5135942420013606</v>
      </c>
      <c r="Q171" s="84">
        <f t="shared" si="60"/>
        <v>3.5135942420013606</v>
      </c>
      <c r="R171" s="15">
        <f t="shared" si="61"/>
        <v>-7.0271884840027212</v>
      </c>
      <c r="S171" s="15">
        <f t="shared" si="62"/>
        <v>-4.6847923226684811</v>
      </c>
      <c r="T171" s="15">
        <f t="shared" si="63"/>
        <v>-2.3423961613342406</v>
      </c>
      <c r="U171" s="16">
        <v>0</v>
      </c>
      <c r="V171" s="15">
        <f t="shared" si="64"/>
        <v>2.3423961613342406</v>
      </c>
      <c r="W171" s="15">
        <f t="shared" si="65"/>
        <v>4.6847923226684811</v>
      </c>
      <c r="X171" s="15">
        <f t="shared" si="66"/>
        <v>7.0271884840027212</v>
      </c>
    </row>
    <row r="172" spans="1:24">
      <c r="A172" s="14">
        <f>'b（手動）計算用'!D56</f>
        <v>61</v>
      </c>
      <c r="B172" s="84">
        <f t="shared" si="67"/>
        <v>26.24132244952332</v>
      </c>
      <c r="C172" s="84">
        <f t="shared" si="46"/>
        <v>0</v>
      </c>
      <c r="D172" s="84">
        <f t="shared" si="47"/>
        <v>0</v>
      </c>
      <c r="E172" s="84">
        <f t="shared" si="48"/>
        <v>0</v>
      </c>
      <c r="F172" s="84">
        <f t="shared" si="49"/>
        <v>26.24132244952332</v>
      </c>
      <c r="G172" s="15">
        <f t="shared" si="70"/>
        <v>19.19356678115232</v>
      </c>
      <c r="H172" s="15">
        <f t="shared" si="70"/>
        <v>21.542818670609321</v>
      </c>
      <c r="I172" s="15">
        <f t="shared" si="70"/>
        <v>23.892070560066319</v>
      </c>
      <c r="J172" s="15">
        <f t="shared" si="70"/>
        <v>26.24132244952332</v>
      </c>
      <c r="K172" s="15">
        <f t="shared" si="70"/>
        <v>28.590574338980321</v>
      </c>
      <c r="L172" s="15">
        <f t="shared" si="70"/>
        <v>30.939826228437319</v>
      </c>
      <c r="M172" s="15">
        <f t="shared" si="70"/>
        <v>33.28907811789432</v>
      </c>
      <c r="N172" s="15">
        <f t="shared" si="69"/>
        <v>27.650873583197519</v>
      </c>
      <c r="O172" s="84">
        <f t="shared" si="58"/>
        <v>0</v>
      </c>
      <c r="P172" s="84">
        <f t="shared" si="59"/>
        <v>3.5238778341855004</v>
      </c>
      <c r="Q172" s="84">
        <f t="shared" si="60"/>
        <v>3.5238778341855004</v>
      </c>
      <c r="R172" s="15">
        <f t="shared" si="61"/>
        <v>-7.0477556683710008</v>
      </c>
      <c r="S172" s="15">
        <f t="shared" si="62"/>
        <v>-4.6985037789140005</v>
      </c>
      <c r="T172" s="15">
        <f t="shared" si="63"/>
        <v>-2.3492518894570003</v>
      </c>
      <c r="U172" s="16">
        <v>0</v>
      </c>
      <c r="V172" s="15">
        <f t="shared" si="64"/>
        <v>2.3492518894570003</v>
      </c>
      <c r="W172" s="15">
        <f t="shared" si="65"/>
        <v>4.6985037789140005</v>
      </c>
      <c r="X172" s="15">
        <f t="shared" si="66"/>
        <v>7.0477556683710008</v>
      </c>
    </row>
    <row r="173" spans="1:24">
      <c r="A173" s="14">
        <f>'b（手動）計算用'!D57</f>
        <v>62</v>
      </c>
      <c r="B173" s="84">
        <f t="shared" si="67"/>
        <v>26.427836686232958</v>
      </c>
      <c r="C173" s="84">
        <f t="shared" si="46"/>
        <v>0</v>
      </c>
      <c r="D173" s="84">
        <f t="shared" si="47"/>
        <v>0</v>
      </c>
      <c r="E173" s="84">
        <f t="shared" si="48"/>
        <v>0</v>
      </c>
      <c r="F173" s="84">
        <f t="shared" si="49"/>
        <v>26.427836686232958</v>
      </c>
      <c r="G173" s="15">
        <f t="shared" si="70"/>
        <v>19.360915839981828</v>
      </c>
      <c r="H173" s="15">
        <f t="shared" si="70"/>
        <v>21.716556122065537</v>
      </c>
      <c r="I173" s="15">
        <f t="shared" si="70"/>
        <v>24.072196404149249</v>
      </c>
      <c r="J173" s="15">
        <f t="shared" si="70"/>
        <v>26.427836686232958</v>
      </c>
      <c r="K173" s="15">
        <f t="shared" si="70"/>
        <v>28.783476968316666</v>
      </c>
      <c r="L173" s="15">
        <f t="shared" si="70"/>
        <v>31.139117250400378</v>
      </c>
      <c r="M173" s="15">
        <f t="shared" si="70"/>
        <v>33.494757532484087</v>
      </c>
      <c r="N173" s="15">
        <f t="shared" si="69"/>
        <v>27.841220855483183</v>
      </c>
      <c r="O173" s="84">
        <f t="shared" si="58"/>
        <v>0</v>
      </c>
      <c r="P173" s="84">
        <f t="shared" si="59"/>
        <v>3.5334604231255646</v>
      </c>
      <c r="Q173" s="84">
        <f t="shared" si="60"/>
        <v>3.5334604231255646</v>
      </c>
      <c r="R173" s="15">
        <f t="shared" si="61"/>
        <v>-7.0669208462511293</v>
      </c>
      <c r="S173" s="15">
        <f t="shared" si="62"/>
        <v>-4.7112805641674198</v>
      </c>
      <c r="T173" s="15">
        <f t="shared" si="63"/>
        <v>-2.3556402820837099</v>
      </c>
      <c r="U173" s="16">
        <v>0</v>
      </c>
      <c r="V173" s="15">
        <f t="shared" si="64"/>
        <v>2.3556402820837099</v>
      </c>
      <c r="W173" s="15">
        <f t="shared" si="65"/>
        <v>4.7112805641674198</v>
      </c>
      <c r="X173" s="15">
        <f t="shared" si="66"/>
        <v>7.0669208462511293</v>
      </c>
    </row>
    <row r="174" spans="1:24">
      <c r="A174" s="14">
        <f>'b（手動）計算用'!D58</f>
        <v>63</v>
      </c>
      <c r="B174" s="84">
        <f t="shared" si="67"/>
        <v>26.609501395141432</v>
      </c>
      <c r="C174" s="84">
        <f t="shared" si="46"/>
        <v>0</v>
      </c>
      <c r="D174" s="84">
        <f t="shared" si="47"/>
        <v>0</v>
      </c>
      <c r="E174" s="84">
        <f t="shared" si="48"/>
        <v>0</v>
      </c>
      <c r="F174" s="84">
        <f t="shared" si="49"/>
        <v>26.609501395141432</v>
      </c>
      <c r="G174" s="15">
        <f t="shared" si="70"/>
        <v>19.52472894219774</v>
      </c>
      <c r="H174" s="15">
        <f t="shared" si="70"/>
        <v>21.886319759845637</v>
      </c>
      <c r="I174" s="15">
        <f t="shared" si="70"/>
        <v>24.247910577493535</v>
      </c>
      <c r="J174" s="15">
        <f t="shared" ref="J174:J231" si="71">$F174+U174</f>
        <v>26.609501395141432</v>
      </c>
      <c r="K174" s="15">
        <f t="shared" ref="K174:K231" si="72">$F174+V174</f>
        <v>28.97109221278933</v>
      </c>
      <c r="L174" s="15">
        <f t="shared" ref="L174:L231" si="73">$F174+W174</f>
        <v>31.332683030437227</v>
      </c>
      <c r="M174" s="15">
        <f t="shared" ref="M174:M231" si="74">$F174+X174</f>
        <v>33.694273848085125</v>
      </c>
      <c r="N174" s="15">
        <f t="shared" si="69"/>
        <v>28.026455885730172</v>
      </c>
      <c r="O174" s="84">
        <f t="shared" si="58"/>
        <v>0</v>
      </c>
      <c r="P174" s="84">
        <f t="shared" si="59"/>
        <v>3.5423862264718458</v>
      </c>
      <c r="Q174" s="84">
        <f t="shared" si="60"/>
        <v>3.5423862264718458</v>
      </c>
      <c r="R174" s="15">
        <f t="shared" si="61"/>
        <v>-7.0847724529436915</v>
      </c>
      <c r="S174" s="15">
        <f t="shared" si="62"/>
        <v>-4.723181635295794</v>
      </c>
      <c r="T174" s="15">
        <f t="shared" si="63"/>
        <v>-2.361590817647897</v>
      </c>
      <c r="U174" s="16">
        <v>0</v>
      </c>
      <c r="V174" s="15">
        <f t="shared" si="64"/>
        <v>2.361590817647897</v>
      </c>
      <c r="W174" s="15">
        <f t="shared" si="65"/>
        <v>4.723181635295794</v>
      </c>
      <c r="X174" s="15">
        <f t="shared" si="66"/>
        <v>7.0847724529436915</v>
      </c>
    </row>
    <row r="175" spans="1:24">
      <c r="A175" s="14">
        <f>'b（手動）計算用'!D59</f>
        <v>64</v>
      </c>
      <c r="B175" s="84">
        <f t="shared" si="67"/>
        <v>26.786439170717934</v>
      </c>
      <c r="C175" s="84">
        <f t="shared" si="46"/>
        <v>0</v>
      </c>
      <c r="D175" s="84">
        <f t="shared" si="47"/>
        <v>0</v>
      </c>
      <c r="E175" s="84">
        <f t="shared" si="48"/>
        <v>0</v>
      </c>
      <c r="F175" s="84">
        <f t="shared" si="49"/>
        <v>26.786439170717934</v>
      </c>
      <c r="G175" s="15">
        <f t="shared" ref="G175:G231" si="75">$F175+R175</f>
        <v>19.685044839378328</v>
      </c>
      <c r="H175" s="15">
        <f t="shared" ref="H175:H231" si="76">$F175+S175</f>
        <v>22.052176283158197</v>
      </c>
      <c r="I175" s="15">
        <f t="shared" ref="I175:I231" si="77">$F175+T175</f>
        <v>24.419307726938065</v>
      </c>
      <c r="J175" s="15">
        <f t="shared" si="71"/>
        <v>26.786439170717934</v>
      </c>
      <c r="K175" s="15">
        <f t="shared" si="72"/>
        <v>29.153570614497802</v>
      </c>
      <c r="L175" s="15">
        <f t="shared" si="73"/>
        <v>31.520702058277671</v>
      </c>
      <c r="M175" s="15">
        <f t="shared" si="74"/>
        <v>33.887833502057539</v>
      </c>
      <c r="N175" s="15">
        <f t="shared" si="69"/>
        <v>28.206718036985855</v>
      </c>
      <c r="O175" s="84">
        <f t="shared" si="58"/>
        <v>0</v>
      </c>
      <c r="P175" s="84">
        <f t="shared" si="59"/>
        <v>3.5506971656698036</v>
      </c>
      <c r="Q175" s="84">
        <f t="shared" si="60"/>
        <v>3.5506971656698036</v>
      </c>
      <c r="R175" s="15">
        <f t="shared" si="61"/>
        <v>-7.1013943313396073</v>
      </c>
      <c r="S175" s="15">
        <f t="shared" si="62"/>
        <v>-4.7342628875597379</v>
      </c>
      <c r="T175" s="15">
        <f t="shared" si="63"/>
        <v>-2.3671314437798689</v>
      </c>
      <c r="U175" s="16">
        <v>0</v>
      </c>
      <c r="V175" s="15">
        <f t="shared" si="64"/>
        <v>2.3671314437798689</v>
      </c>
      <c r="W175" s="15">
        <f t="shared" si="65"/>
        <v>4.7342628875597379</v>
      </c>
      <c r="X175" s="15">
        <f t="shared" si="66"/>
        <v>7.1013943313396073</v>
      </c>
    </row>
    <row r="176" spans="1:24">
      <c r="A176" s="14">
        <f>'b（手動）計算用'!D60</f>
        <v>65</v>
      </c>
      <c r="B176" s="84">
        <f t="shared" si="67"/>
        <v>26.95876973308642</v>
      </c>
      <c r="C176" s="84">
        <f t="shared" si="46"/>
        <v>0</v>
      </c>
      <c r="D176" s="84">
        <f t="shared" si="47"/>
        <v>0</v>
      </c>
      <c r="E176" s="84">
        <f t="shared" si="48"/>
        <v>0</v>
      </c>
      <c r="F176" s="84">
        <f t="shared" si="49"/>
        <v>26.95876973308642</v>
      </c>
      <c r="G176" s="15">
        <f t="shared" si="75"/>
        <v>19.841903903888138</v>
      </c>
      <c r="H176" s="15">
        <f t="shared" si="76"/>
        <v>22.214192513620901</v>
      </c>
      <c r="I176" s="15">
        <f t="shared" si="77"/>
        <v>24.586481123353661</v>
      </c>
      <c r="J176" s="15">
        <f t="shared" si="71"/>
        <v>26.95876973308642</v>
      </c>
      <c r="K176" s="15">
        <f t="shared" si="72"/>
        <v>29.33105834281918</v>
      </c>
      <c r="L176" s="15">
        <f t="shared" si="73"/>
        <v>31.703346952551939</v>
      </c>
      <c r="M176" s="15">
        <f t="shared" si="74"/>
        <v>34.075635562284702</v>
      </c>
      <c r="N176" s="15">
        <f t="shared" si="69"/>
        <v>28.382142898926077</v>
      </c>
      <c r="O176" s="84">
        <f t="shared" si="58"/>
        <v>0</v>
      </c>
      <c r="P176" s="84">
        <f t="shared" si="59"/>
        <v>3.5584329145991402</v>
      </c>
      <c r="Q176" s="84">
        <f t="shared" si="60"/>
        <v>3.5584329145991402</v>
      </c>
      <c r="R176" s="15">
        <f t="shared" si="61"/>
        <v>-7.1168658291982805</v>
      </c>
      <c r="S176" s="15">
        <f t="shared" si="62"/>
        <v>-4.74457721946552</v>
      </c>
      <c r="T176" s="15">
        <f t="shared" si="63"/>
        <v>-2.37228860973276</v>
      </c>
      <c r="U176" s="16">
        <v>0</v>
      </c>
      <c r="V176" s="15">
        <f t="shared" si="64"/>
        <v>2.37228860973276</v>
      </c>
      <c r="W176" s="15">
        <f t="shared" si="65"/>
        <v>4.74457721946552</v>
      </c>
      <c r="X176" s="15">
        <f t="shared" si="66"/>
        <v>7.1168658291982805</v>
      </c>
    </row>
    <row r="177" spans="1:24">
      <c r="A177" s="14">
        <f>'b（手動）計算用'!D61</f>
        <v>66</v>
      </c>
      <c r="B177" s="84">
        <f t="shared" si="67"/>
        <v>27.126609979445547</v>
      </c>
      <c r="C177" s="84">
        <f t="shared" si="46"/>
        <v>0</v>
      </c>
      <c r="D177" s="84">
        <f t="shared" si="47"/>
        <v>0</v>
      </c>
      <c r="E177" s="84">
        <f t="shared" si="48"/>
        <v>0</v>
      </c>
      <c r="F177" s="84">
        <f t="shared" si="49"/>
        <v>27.126609979445547</v>
      </c>
      <c r="G177" s="15">
        <f t="shared" si="75"/>
        <v>19.995348061718982</v>
      </c>
      <c r="H177" s="15">
        <f t="shared" si="76"/>
        <v>22.372435367627837</v>
      </c>
      <c r="I177" s="15">
        <f t="shared" si="77"/>
        <v>24.749522673536692</v>
      </c>
      <c r="J177" s="15">
        <f t="shared" si="71"/>
        <v>27.126609979445547</v>
      </c>
      <c r="K177" s="15">
        <f t="shared" si="72"/>
        <v>29.503697285354402</v>
      </c>
      <c r="L177" s="15">
        <f t="shared" si="73"/>
        <v>31.880784591263257</v>
      </c>
      <c r="M177" s="15">
        <f t="shared" si="74"/>
        <v>34.257871897172116</v>
      </c>
      <c r="N177" s="15">
        <f t="shared" si="69"/>
        <v>28.552862362990862</v>
      </c>
      <c r="O177" s="84">
        <f t="shared" si="58"/>
        <v>0</v>
      </c>
      <c r="P177" s="84">
        <f t="shared" si="59"/>
        <v>3.5656309588632831</v>
      </c>
      <c r="Q177" s="84">
        <f t="shared" si="60"/>
        <v>3.5656309588632831</v>
      </c>
      <c r="R177" s="15">
        <f t="shared" si="61"/>
        <v>-7.1312619177265661</v>
      </c>
      <c r="S177" s="15">
        <f t="shared" si="62"/>
        <v>-4.7541746118177111</v>
      </c>
      <c r="T177" s="15">
        <f t="shared" si="63"/>
        <v>-2.3770873059088555</v>
      </c>
      <c r="U177" s="16">
        <v>0</v>
      </c>
      <c r="V177" s="15">
        <f t="shared" si="64"/>
        <v>2.3770873059088555</v>
      </c>
      <c r="W177" s="15">
        <f t="shared" si="65"/>
        <v>4.7541746118177111</v>
      </c>
      <c r="X177" s="15">
        <f t="shared" si="66"/>
        <v>7.1312619177265661</v>
      </c>
    </row>
    <row r="178" spans="1:24">
      <c r="A178" s="14">
        <f>'b（手動）計算用'!D62</f>
        <v>67</v>
      </c>
      <c r="B178" s="84">
        <f t="shared" si="67"/>
        <v>27.290074035895831</v>
      </c>
      <c r="C178" s="84">
        <f t="shared" si="46"/>
        <v>0</v>
      </c>
      <c r="D178" s="84">
        <f t="shared" si="47"/>
        <v>0</v>
      </c>
      <c r="E178" s="84">
        <f t="shared" si="48"/>
        <v>0</v>
      </c>
      <c r="F178" s="84">
        <f t="shared" si="49"/>
        <v>27.290074035895831</v>
      </c>
      <c r="G178" s="15">
        <f t="shared" si="75"/>
        <v>20.145420709004579</v>
      </c>
      <c r="H178" s="15">
        <f t="shared" si="76"/>
        <v>22.526971817968331</v>
      </c>
      <c r="I178" s="15">
        <f t="shared" si="77"/>
        <v>24.908522926932079</v>
      </c>
      <c r="J178" s="15">
        <f t="shared" si="71"/>
        <v>27.290074035895831</v>
      </c>
      <c r="K178" s="15">
        <f t="shared" si="72"/>
        <v>29.671625144859583</v>
      </c>
      <c r="L178" s="15">
        <f t="shared" si="73"/>
        <v>32.053176253823331</v>
      </c>
      <c r="M178" s="15">
        <f t="shared" si="74"/>
        <v>34.434727362787086</v>
      </c>
      <c r="N178" s="15">
        <f t="shared" si="69"/>
        <v>28.719004701274081</v>
      </c>
      <c r="O178" s="84">
        <f t="shared" si="58"/>
        <v>0</v>
      </c>
      <c r="P178" s="84">
        <f t="shared" si="59"/>
        <v>3.5723266634456259</v>
      </c>
      <c r="Q178" s="84">
        <f t="shared" si="60"/>
        <v>3.5723266634456259</v>
      </c>
      <c r="R178" s="15">
        <f t="shared" si="61"/>
        <v>-7.1446533268912518</v>
      </c>
      <c r="S178" s="15">
        <f t="shared" si="62"/>
        <v>-4.7631022179275009</v>
      </c>
      <c r="T178" s="15">
        <f t="shared" si="63"/>
        <v>-2.3815511089637504</v>
      </c>
      <c r="U178" s="16">
        <v>0</v>
      </c>
      <c r="V178" s="15">
        <f t="shared" si="64"/>
        <v>2.3815511089637504</v>
      </c>
      <c r="W178" s="15">
        <f t="shared" si="65"/>
        <v>4.7631022179275009</v>
      </c>
      <c r="X178" s="15">
        <f t="shared" si="66"/>
        <v>7.1446533268912518</v>
      </c>
    </row>
    <row r="179" spans="1:24">
      <c r="A179" s="14">
        <f>'b（手動）計算用'!D63</f>
        <v>68</v>
      </c>
      <c r="B179" s="84">
        <f t="shared" si="67"/>
        <v>27.449273309522688</v>
      </c>
      <c r="C179" s="84">
        <f t="shared" si="46"/>
        <v>0</v>
      </c>
      <c r="D179" s="84">
        <f t="shared" si="47"/>
        <v>0</v>
      </c>
      <c r="E179" s="84">
        <f t="shared" si="48"/>
        <v>0</v>
      </c>
      <c r="F179" s="84">
        <f t="shared" si="49"/>
        <v>27.449273309522688</v>
      </c>
      <c r="G179" s="15">
        <f t="shared" si="75"/>
        <v>20.292166616048348</v>
      </c>
      <c r="H179" s="15">
        <f t="shared" si="76"/>
        <v>22.677868847206462</v>
      </c>
      <c r="I179" s="15">
        <f t="shared" si="77"/>
        <v>25.063571078364575</v>
      </c>
      <c r="J179" s="15">
        <f t="shared" si="71"/>
        <v>27.449273309522688</v>
      </c>
      <c r="K179" s="15">
        <f t="shared" si="72"/>
        <v>29.834975540680801</v>
      </c>
      <c r="L179" s="15">
        <f t="shared" si="73"/>
        <v>32.220677771838915</v>
      </c>
      <c r="M179" s="15">
        <f t="shared" si="74"/>
        <v>34.606380002997028</v>
      </c>
      <c r="N179" s="15">
        <f t="shared" si="69"/>
        <v>28.880694648217556</v>
      </c>
      <c r="O179" s="84">
        <f t="shared" si="58"/>
        <v>0</v>
      </c>
      <c r="P179" s="84">
        <f t="shared" si="59"/>
        <v>3.5785533467371704</v>
      </c>
      <c r="Q179" s="84">
        <f t="shared" si="60"/>
        <v>3.5785533467371704</v>
      </c>
      <c r="R179" s="15">
        <f t="shared" si="61"/>
        <v>-7.1571066934743408</v>
      </c>
      <c r="S179" s="15">
        <f t="shared" si="62"/>
        <v>-4.7714044623162275</v>
      </c>
      <c r="T179" s="15">
        <f t="shared" si="63"/>
        <v>-2.3857022311581138</v>
      </c>
      <c r="U179" s="16">
        <v>0</v>
      </c>
      <c r="V179" s="15">
        <f t="shared" si="64"/>
        <v>2.3857022311581138</v>
      </c>
      <c r="W179" s="15">
        <f t="shared" si="65"/>
        <v>4.7714044623162275</v>
      </c>
      <c r="X179" s="15">
        <f t="shared" si="66"/>
        <v>7.1571066934743408</v>
      </c>
    </row>
    <row r="180" spans="1:24">
      <c r="A180" s="14">
        <f>'b（手動）計算用'!D64</f>
        <v>69</v>
      </c>
      <c r="B180" s="84">
        <f t="shared" si="67"/>
        <v>27.604316540600752</v>
      </c>
      <c r="C180" s="84">
        <f t="shared" si="46"/>
        <v>0</v>
      </c>
      <c r="D180" s="84">
        <f t="shared" si="47"/>
        <v>0</v>
      </c>
      <c r="E180" s="84">
        <f t="shared" si="48"/>
        <v>0</v>
      </c>
      <c r="F180" s="84">
        <f t="shared" si="49"/>
        <v>27.604316540600752</v>
      </c>
      <c r="G180" s="15">
        <f t="shared" si="75"/>
        <v>20.435631822188558</v>
      </c>
      <c r="H180" s="15">
        <f t="shared" si="76"/>
        <v>22.825193394992624</v>
      </c>
      <c r="I180" s="15">
        <f t="shared" si="77"/>
        <v>25.214754967796686</v>
      </c>
      <c r="J180" s="15">
        <f t="shared" si="71"/>
        <v>27.604316540600752</v>
      </c>
      <c r="K180" s="15">
        <f t="shared" si="72"/>
        <v>29.993878113404818</v>
      </c>
      <c r="L180" s="15">
        <f t="shared" si="73"/>
        <v>32.383439686208881</v>
      </c>
      <c r="M180" s="15">
        <f t="shared" si="74"/>
        <v>34.773001259012943</v>
      </c>
      <c r="N180" s="15">
        <f t="shared" si="69"/>
        <v>29.038053484283193</v>
      </c>
      <c r="O180" s="84">
        <f t="shared" si="58"/>
        <v>0</v>
      </c>
      <c r="P180" s="84">
        <f t="shared" si="59"/>
        <v>3.5843423592060972</v>
      </c>
      <c r="Q180" s="84">
        <f t="shared" si="60"/>
        <v>3.5843423592060972</v>
      </c>
      <c r="R180" s="15">
        <f t="shared" si="61"/>
        <v>-7.1686847184121945</v>
      </c>
      <c r="S180" s="15">
        <f t="shared" si="62"/>
        <v>-4.7791231456081293</v>
      </c>
      <c r="T180" s="15">
        <f t="shared" si="63"/>
        <v>-2.3895615728040647</v>
      </c>
      <c r="U180" s="16">
        <v>0</v>
      </c>
      <c r="V180" s="15">
        <f t="shared" si="64"/>
        <v>2.3895615728040647</v>
      </c>
      <c r="W180" s="15">
        <f t="shared" si="65"/>
        <v>4.7791231456081293</v>
      </c>
      <c r="X180" s="15">
        <f t="shared" si="66"/>
        <v>7.1686847184121945</v>
      </c>
    </row>
    <row r="181" spans="1:24">
      <c r="A181" s="14">
        <f>'b（手動）計算用'!D65</f>
        <v>70</v>
      </c>
      <c r="B181" s="84">
        <f t="shared" si="67"/>
        <v>27.755309854799538</v>
      </c>
      <c r="C181" s="84">
        <f t="shared" si="46"/>
        <v>0</v>
      </c>
      <c r="D181" s="84">
        <f t="shared" si="47"/>
        <v>0</v>
      </c>
      <c r="E181" s="84">
        <f t="shared" si="48"/>
        <v>0</v>
      </c>
      <c r="F181" s="84">
        <f t="shared" si="49"/>
        <v>27.755309854799538</v>
      </c>
      <c r="G181" s="15">
        <f t="shared" si="75"/>
        <v>20.575863524354673</v>
      </c>
      <c r="H181" s="15">
        <f t="shared" si="76"/>
        <v>22.969012301169627</v>
      </c>
      <c r="I181" s="15">
        <f t="shared" si="77"/>
        <v>25.362161077984581</v>
      </c>
      <c r="J181" s="15">
        <f t="shared" si="71"/>
        <v>27.755309854799538</v>
      </c>
      <c r="K181" s="15">
        <f t="shared" si="72"/>
        <v>30.148458631614496</v>
      </c>
      <c r="L181" s="15">
        <f t="shared" si="73"/>
        <v>32.541607408429449</v>
      </c>
      <c r="M181" s="15">
        <f t="shared" si="74"/>
        <v>34.934756185244403</v>
      </c>
      <c r="N181" s="15">
        <f t="shared" si="69"/>
        <v>29.191199120888513</v>
      </c>
      <c r="O181" s="84">
        <f t="shared" si="58"/>
        <v>0</v>
      </c>
      <c r="P181" s="84">
        <f t="shared" si="59"/>
        <v>3.5897231652224333</v>
      </c>
      <c r="Q181" s="84">
        <f t="shared" si="60"/>
        <v>3.5897231652224333</v>
      </c>
      <c r="R181" s="15">
        <f t="shared" si="61"/>
        <v>-7.1794463304448666</v>
      </c>
      <c r="S181" s="15">
        <f t="shared" si="62"/>
        <v>-4.7862975536299111</v>
      </c>
      <c r="T181" s="15">
        <f t="shared" si="63"/>
        <v>-2.3931487768149555</v>
      </c>
      <c r="U181" s="16">
        <v>0</v>
      </c>
      <c r="V181" s="15">
        <f t="shared" si="64"/>
        <v>2.3931487768149555</v>
      </c>
      <c r="W181" s="15">
        <f t="shared" si="65"/>
        <v>4.7862975536299111</v>
      </c>
      <c r="X181" s="15">
        <f t="shared" si="66"/>
        <v>7.1794463304448666</v>
      </c>
    </row>
    <row r="182" spans="1:24">
      <c r="A182" s="14">
        <f>'b（手動）計算用'!D66</f>
        <v>71</v>
      </c>
      <c r="B182" s="84">
        <f t="shared" si="67"/>
        <v>27.902356815284058</v>
      </c>
      <c r="C182" s="84">
        <f t="shared" si="46"/>
        <v>0</v>
      </c>
      <c r="D182" s="84">
        <f t="shared" si="47"/>
        <v>0</v>
      </c>
      <c r="E182" s="84">
        <f t="shared" si="48"/>
        <v>0</v>
      </c>
      <c r="F182" s="84">
        <f t="shared" si="49"/>
        <v>27.902356815284058</v>
      </c>
      <c r="G182" s="15">
        <f t="shared" si="75"/>
        <v>20.712909961742874</v>
      </c>
      <c r="H182" s="15">
        <f t="shared" si="76"/>
        <v>23.109392246256601</v>
      </c>
      <c r="I182" s="15">
        <f t="shared" si="77"/>
        <v>25.505874530770331</v>
      </c>
      <c r="J182" s="15">
        <f t="shared" si="71"/>
        <v>27.902356815284058</v>
      </c>
      <c r="K182" s="15">
        <f t="shared" si="72"/>
        <v>30.298839099797785</v>
      </c>
      <c r="L182" s="15">
        <f t="shared" si="73"/>
        <v>32.695321384311512</v>
      </c>
      <c r="M182" s="15">
        <f t="shared" si="74"/>
        <v>35.091803668825243</v>
      </c>
      <c r="N182" s="15">
        <f t="shared" si="69"/>
        <v>29.340246185992296</v>
      </c>
      <c r="O182" s="84">
        <f t="shared" si="58"/>
        <v>0</v>
      </c>
      <c r="P182" s="84">
        <f t="shared" si="59"/>
        <v>3.5947234267705923</v>
      </c>
      <c r="Q182" s="84">
        <f t="shared" si="60"/>
        <v>3.5947234267705923</v>
      </c>
      <c r="R182" s="15">
        <f t="shared" si="61"/>
        <v>-7.1894468535411846</v>
      </c>
      <c r="S182" s="15">
        <f t="shared" si="62"/>
        <v>-4.7929645690274567</v>
      </c>
      <c r="T182" s="15">
        <f t="shared" si="63"/>
        <v>-2.3964822845137284</v>
      </c>
      <c r="U182" s="16">
        <v>0</v>
      </c>
      <c r="V182" s="15">
        <f t="shared" si="64"/>
        <v>2.3964822845137284</v>
      </c>
      <c r="W182" s="15">
        <f t="shared" si="65"/>
        <v>4.7929645690274567</v>
      </c>
      <c r="X182" s="15">
        <f t="shared" si="66"/>
        <v>7.1894468535411846</v>
      </c>
    </row>
    <row r="183" spans="1:24">
      <c r="A183" s="14">
        <f>'b（手動）計算用'!D67</f>
        <v>72</v>
      </c>
      <c r="B183" s="84">
        <f t="shared" si="67"/>
        <v>28.045558474615788</v>
      </c>
      <c r="C183" s="84">
        <f t="shared" si="46"/>
        <v>0</v>
      </c>
      <c r="D183" s="84">
        <f t="shared" si="47"/>
        <v>0</v>
      </c>
      <c r="E183" s="84">
        <f t="shared" si="48"/>
        <v>0</v>
      </c>
      <c r="F183" s="84">
        <f t="shared" si="49"/>
        <v>28.045558474615788</v>
      </c>
      <c r="G183" s="15">
        <f t="shared" si="75"/>
        <v>20.84682029865656</v>
      </c>
      <c r="H183" s="15">
        <f t="shared" si="76"/>
        <v>23.246399690642967</v>
      </c>
      <c r="I183" s="15">
        <f t="shared" si="77"/>
        <v>25.645979082629378</v>
      </c>
      <c r="J183" s="15">
        <f t="shared" si="71"/>
        <v>28.045558474615788</v>
      </c>
      <c r="K183" s="15">
        <f t="shared" si="72"/>
        <v>30.445137866602199</v>
      </c>
      <c r="L183" s="15">
        <f t="shared" si="73"/>
        <v>32.844717258588609</v>
      </c>
      <c r="M183" s="15">
        <f t="shared" si="74"/>
        <v>35.244296650575016</v>
      </c>
      <c r="N183" s="15">
        <f t="shared" si="69"/>
        <v>29.485306109807635</v>
      </c>
      <c r="O183" s="84">
        <f t="shared" si="58"/>
        <v>0</v>
      </c>
      <c r="P183" s="84">
        <f t="shared" si="59"/>
        <v>3.599369087979615</v>
      </c>
      <c r="Q183" s="84">
        <f t="shared" si="60"/>
        <v>3.599369087979615</v>
      </c>
      <c r="R183" s="15">
        <f t="shared" si="61"/>
        <v>-7.1987381759592299</v>
      </c>
      <c r="S183" s="15">
        <f t="shared" si="62"/>
        <v>-4.7991587839728203</v>
      </c>
      <c r="T183" s="15">
        <f t="shared" si="63"/>
        <v>-2.3995793919864101</v>
      </c>
      <c r="U183" s="16">
        <v>0</v>
      </c>
      <c r="V183" s="15">
        <f t="shared" si="64"/>
        <v>2.3995793919864101</v>
      </c>
      <c r="W183" s="15">
        <f t="shared" si="65"/>
        <v>4.7991587839728203</v>
      </c>
      <c r="X183" s="15">
        <f t="shared" si="66"/>
        <v>7.1987381759592299</v>
      </c>
    </row>
    <row r="184" spans="1:24">
      <c r="A184" s="14">
        <f>'b（手動）計算用'!D68</f>
        <v>73</v>
      </c>
      <c r="B184" s="84">
        <f t="shared" si="67"/>
        <v>28.185013426370372</v>
      </c>
      <c r="C184" s="84">
        <f t="shared" si="46"/>
        <v>0</v>
      </c>
      <c r="D184" s="84">
        <f t="shared" si="47"/>
        <v>0</v>
      </c>
      <c r="E184" s="84">
        <f t="shared" si="48"/>
        <v>0</v>
      </c>
      <c r="F184" s="84">
        <f t="shared" si="49"/>
        <v>28.185013426370372</v>
      </c>
      <c r="G184" s="15">
        <f t="shared" si="75"/>
        <v>20.97764450721737</v>
      </c>
      <c r="H184" s="15">
        <f t="shared" si="76"/>
        <v>23.380100813601704</v>
      </c>
      <c r="I184" s="15">
        <f t="shared" si="77"/>
        <v>25.782557119986038</v>
      </c>
      <c r="J184" s="15">
        <f t="shared" si="71"/>
        <v>28.185013426370372</v>
      </c>
      <c r="K184" s="15">
        <f t="shared" si="72"/>
        <v>30.587469732754705</v>
      </c>
      <c r="L184" s="15">
        <f t="shared" si="73"/>
        <v>32.989926039139036</v>
      </c>
      <c r="M184" s="15">
        <f t="shared" si="74"/>
        <v>35.392382345523373</v>
      </c>
      <c r="N184" s="15">
        <f t="shared" si="69"/>
        <v>29.62648721020097</v>
      </c>
      <c r="O184" s="84">
        <f t="shared" si="58"/>
        <v>0</v>
      </c>
      <c r="P184" s="84">
        <f t="shared" si="59"/>
        <v>3.6036844595764999</v>
      </c>
      <c r="Q184" s="84">
        <f t="shared" si="60"/>
        <v>3.6036844595764999</v>
      </c>
      <c r="R184" s="15">
        <f t="shared" si="61"/>
        <v>-7.2073689191529997</v>
      </c>
      <c r="S184" s="15">
        <f t="shared" si="62"/>
        <v>-4.8049126127686668</v>
      </c>
      <c r="T184" s="15">
        <f t="shared" si="63"/>
        <v>-2.4024563063843334</v>
      </c>
      <c r="U184" s="16">
        <v>0</v>
      </c>
      <c r="V184" s="15">
        <f t="shared" si="64"/>
        <v>2.4024563063843334</v>
      </c>
      <c r="W184" s="15">
        <f t="shared" si="65"/>
        <v>4.8049126127686668</v>
      </c>
      <c r="X184" s="15">
        <f t="shared" si="66"/>
        <v>7.2073689191529997</v>
      </c>
    </row>
    <row r="185" spans="1:24">
      <c r="A185" s="14">
        <f>'b（手動）計算用'!D69</f>
        <v>74</v>
      </c>
      <c r="B185" s="84">
        <f t="shared" si="67"/>
        <v>28.320817856398016</v>
      </c>
      <c r="C185" s="84">
        <f t="shared" ref="C185:C231" si="78">$AB$21/(1+ EXP(-$AB$23*(A185-$AB$22)) )</f>
        <v>0</v>
      </c>
      <c r="D185" s="84">
        <f t="shared" ref="D185:D231" si="79">$AB$32*EXP(-EXP(-$AB$34*(A185-$AB$33)) )</f>
        <v>0</v>
      </c>
      <c r="E185" s="84">
        <f t="shared" ref="E185:E231" si="80">$AB$43*(1-EXP(-$AB$45*(A185-$AB$44)))</f>
        <v>0</v>
      </c>
      <c r="F185" s="84">
        <f t="shared" ref="F185:F231" si="81">IF($AA$2=1,B185,IF($AA$2=2,C185,IF($AA$2=3,D185,E185)))</f>
        <v>28.320817856398016</v>
      </c>
      <c r="G185" s="15">
        <f t="shared" si="75"/>
        <v>21.105433251351364</v>
      </c>
      <c r="H185" s="15">
        <f t="shared" si="76"/>
        <v>23.510561453033581</v>
      </c>
      <c r="I185" s="15">
        <f t="shared" si="77"/>
        <v>25.915689654715798</v>
      </c>
      <c r="J185" s="15">
        <f t="shared" si="71"/>
        <v>28.320817856398016</v>
      </c>
      <c r="K185" s="15">
        <f t="shared" si="72"/>
        <v>30.725946058080233</v>
      </c>
      <c r="L185" s="15">
        <f t="shared" si="73"/>
        <v>33.13107425976245</v>
      </c>
      <c r="M185" s="15">
        <f t="shared" si="74"/>
        <v>35.536202461444667</v>
      </c>
      <c r="N185" s="15">
        <f t="shared" si="69"/>
        <v>29.763894777407348</v>
      </c>
      <c r="O185" s="84">
        <f t="shared" si="58"/>
        <v>0</v>
      </c>
      <c r="P185" s="84">
        <f t="shared" si="59"/>
        <v>3.6076923025233265</v>
      </c>
      <c r="Q185" s="84">
        <f t="shared" si="60"/>
        <v>3.6076923025233265</v>
      </c>
      <c r="R185" s="15">
        <f t="shared" si="61"/>
        <v>-7.215384605046653</v>
      </c>
      <c r="S185" s="15">
        <f t="shared" si="62"/>
        <v>-4.8102564033644351</v>
      </c>
      <c r="T185" s="15">
        <f t="shared" si="63"/>
        <v>-2.4051282016822175</v>
      </c>
      <c r="U185" s="16">
        <v>0</v>
      </c>
      <c r="V185" s="15">
        <f t="shared" si="64"/>
        <v>2.4051282016822175</v>
      </c>
      <c r="W185" s="15">
        <f t="shared" si="65"/>
        <v>4.8102564033644351</v>
      </c>
      <c r="X185" s="15">
        <f t="shared" si="66"/>
        <v>7.215384605046653</v>
      </c>
    </row>
    <row r="186" spans="1:24">
      <c r="A186" s="14">
        <f>'b（手動）計算用'!D70</f>
        <v>75</v>
      </c>
      <c r="B186" s="84">
        <f t="shared" si="67"/>
        <v>28.453065593661222</v>
      </c>
      <c r="C186" s="84">
        <f t="shared" si="78"/>
        <v>0</v>
      </c>
      <c r="D186" s="84">
        <f t="shared" si="79"/>
        <v>0</v>
      </c>
      <c r="E186" s="84">
        <f t="shared" si="80"/>
        <v>0</v>
      </c>
      <c r="F186" s="84">
        <f t="shared" si="81"/>
        <v>28.453065593661222</v>
      </c>
      <c r="G186" s="15">
        <f t="shared" si="75"/>
        <v>21.230237773190588</v>
      </c>
      <c r="H186" s="15">
        <f t="shared" si="76"/>
        <v>23.6378470466808</v>
      </c>
      <c r="I186" s="15">
        <f t="shared" si="77"/>
        <v>26.045456320171013</v>
      </c>
      <c r="J186" s="15">
        <f t="shared" si="71"/>
        <v>28.453065593661222</v>
      </c>
      <c r="K186" s="15">
        <f t="shared" si="72"/>
        <v>30.860674867151431</v>
      </c>
      <c r="L186" s="15">
        <f t="shared" si="73"/>
        <v>33.26828414064164</v>
      </c>
      <c r="M186" s="15">
        <f t="shared" si="74"/>
        <v>35.675893414131856</v>
      </c>
      <c r="N186" s="15">
        <f t="shared" si="69"/>
        <v>29.897631157755349</v>
      </c>
      <c r="O186" s="84">
        <f t="shared" ref="O186:O231" si="82">$AF$9*A186^$AF$10</f>
        <v>0</v>
      </c>
      <c r="P186" s="84">
        <f t="shared" ref="P186:P231" si="83">$AF$19/(1+ EXP(-$AF$21*(A186-$AF$20)) )</f>
        <v>3.6114139102353162</v>
      </c>
      <c r="Q186" s="84">
        <f t="shared" ref="Q186:Q231" si="84">IF($AE$2=1,O186,P186)</f>
        <v>3.6114139102353162</v>
      </c>
      <c r="R186" s="15">
        <f t="shared" ref="R186:R231" si="85">-$Q186*2</f>
        <v>-7.2228278204706324</v>
      </c>
      <c r="S186" s="15">
        <f t="shared" ref="S186:S230" si="86">-$Q186*4/3</f>
        <v>-4.8152185469804216</v>
      </c>
      <c r="T186" s="15">
        <f t="shared" ref="T186:T231" si="87">-$Q186*2/3</f>
        <v>-2.4076092734902108</v>
      </c>
      <c r="U186" s="16">
        <v>0</v>
      </c>
      <c r="V186" s="15">
        <f t="shared" ref="V186:V231" si="88">$Q186*2/3</f>
        <v>2.4076092734902108</v>
      </c>
      <c r="W186" s="15">
        <f t="shared" ref="W186:W231" si="89">$Q186*4/3</f>
        <v>4.8152185469804216</v>
      </c>
      <c r="X186" s="15">
        <f t="shared" ref="X186:X231" si="90">$Q186*2</f>
        <v>7.2228278204706324</v>
      </c>
    </row>
    <row r="187" spans="1:24">
      <c r="A187" s="14">
        <f>'b（手動）計算用'!D71</f>
        <v>76</v>
      </c>
      <c r="B187" s="84">
        <f t="shared" ref="B187:B231" si="91">$AB$9*(1+ ($AB$11-1)*EXP(-$AB$12*(A187-$AB$10)) )^(1/(1-$AB$11))</f>
        <v>28.581848160592632</v>
      </c>
      <c r="C187" s="84">
        <f t="shared" si="78"/>
        <v>0</v>
      </c>
      <c r="D187" s="84">
        <f t="shared" si="79"/>
        <v>0</v>
      </c>
      <c r="E187" s="84">
        <f t="shared" si="80"/>
        <v>0</v>
      </c>
      <c r="F187" s="84">
        <f t="shared" si="81"/>
        <v>28.581848160592632</v>
      </c>
      <c r="G187" s="15">
        <f t="shared" si="75"/>
        <v>21.352109782800436</v>
      </c>
      <c r="H187" s="15">
        <f t="shared" si="76"/>
        <v>23.762022575397836</v>
      </c>
      <c r="I187" s="15">
        <f t="shared" si="77"/>
        <v>26.171935367995232</v>
      </c>
      <c r="J187" s="15">
        <f t="shared" si="71"/>
        <v>28.581848160592632</v>
      </c>
      <c r="K187" s="15">
        <f t="shared" si="72"/>
        <v>30.991760953190031</v>
      </c>
      <c r="L187" s="15">
        <f t="shared" si="73"/>
        <v>33.401673745787427</v>
      </c>
      <c r="M187" s="15">
        <f t="shared" si="74"/>
        <v>35.81158653838483</v>
      </c>
      <c r="N187" s="15">
        <f t="shared" si="69"/>
        <v>30.027795836151071</v>
      </c>
      <c r="O187" s="84">
        <f t="shared" si="82"/>
        <v>0</v>
      </c>
      <c r="P187" s="84">
        <f t="shared" si="83"/>
        <v>3.614869188896098</v>
      </c>
      <c r="Q187" s="84">
        <f t="shared" si="84"/>
        <v>3.614869188896098</v>
      </c>
      <c r="R187" s="15">
        <f t="shared" si="85"/>
        <v>-7.229738377792196</v>
      </c>
      <c r="S187" s="15">
        <f t="shared" si="86"/>
        <v>-4.8198255851947973</v>
      </c>
      <c r="T187" s="15">
        <f t="shared" si="87"/>
        <v>-2.4099127925973987</v>
      </c>
      <c r="U187" s="16">
        <v>0</v>
      </c>
      <c r="V187" s="15">
        <f t="shared" si="88"/>
        <v>2.4099127925973987</v>
      </c>
      <c r="W187" s="15">
        <f t="shared" si="89"/>
        <v>4.8198255851947973</v>
      </c>
      <c r="X187" s="15">
        <f t="shared" si="90"/>
        <v>7.229738377792196</v>
      </c>
    </row>
    <row r="188" spans="1:24">
      <c r="A188" s="14">
        <f>'b（手動）計算用'!D72</f>
        <v>77</v>
      </c>
      <c r="B188" s="84">
        <f t="shared" si="91"/>
        <v>28.707254822922518</v>
      </c>
      <c r="C188" s="84">
        <f t="shared" si="78"/>
        <v>0</v>
      </c>
      <c r="D188" s="84">
        <f t="shared" si="79"/>
        <v>0</v>
      </c>
      <c r="E188" s="84">
        <f t="shared" si="80"/>
        <v>0</v>
      </c>
      <c r="F188" s="84">
        <f t="shared" si="81"/>
        <v>28.707254822922518</v>
      </c>
      <c r="G188" s="15">
        <f t="shared" si="75"/>
        <v>21.471101351942941</v>
      </c>
      <c r="H188" s="15">
        <f t="shared" si="76"/>
        <v>23.883152508936135</v>
      </c>
      <c r="I188" s="15">
        <f t="shared" si="77"/>
        <v>26.295203665929325</v>
      </c>
      <c r="J188" s="15">
        <f t="shared" si="71"/>
        <v>28.707254822922518</v>
      </c>
      <c r="K188" s="15">
        <f t="shared" si="72"/>
        <v>31.119305979915712</v>
      </c>
      <c r="L188" s="15">
        <f t="shared" si="73"/>
        <v>33.531357136908902</v>
      </c>
      <c r="M188" s="15">
        <f t="shared" si="74"/>
        <v>35.943408293902095</v>
      </c>
      <c r="N188" s="15">
        <f t="shared" si="69"/>
        <v>30.154485517118435</v>
      </c>
      <c r="O188" s="84">
        <f t="shared" si="82"/>
        <v>0</v>
      </c>
      <c r="P188" s="84">
        <f t="shared" si="83"/>
        <v>3.6180767354897885</v>
      </c>
      <c r="Q188" s="84">
        <f t="shared" si="84"/>
        <v>3.6180767354897885</v>
      </c>
      <c r="R188" s="15">
        <f t="shared" si="85"/>
        <v>-7.236153470979577</v>
      </c>
      <c r="S188" s="15">
        <f t="shared" si="86"/>
        <v>-4.8241023139863843</v>
      </c>
      <c r="T188" s="15">
        <f t="shared" si="87"/>
        <v>-2.4120511569931922</v>
      </c>
      <c r="U188" s="16">
        <v>0</v>
      </c>
      <c r="V188" s="15">
        <f t="shared" si="88"/>
        <v>2.4120511569931922</v>
      </c>
      <c r="W188" s="15">
        <f t="shared" si="89"/>
        <v>4.8241023139863843</v>
      </c>
      <c r="X188" s="15">
        <f t="shared" si="90"/>
        <v>7.236153470979577</v>
      </c>
    </row>
    <row r="189" spans="1:24">
      <c r="A189" s="14">
        <f>'b（手動）計算用'!D73</f>
        <v>78</v>
      </c>
      <c r="B189" s="84">
        <f t="shared" si="91"/>
        <v>28.829372638932146</v>
      </c>
      <c r="C189" s="84">
        <f t="shared" si="78"/>
        <v>0</v>
      </c>
      <c r="D189" s="84">
        <f t="shared" si="79"/>
        <v>0</v>
      </c>
      <c r="E189" s="84">
        <f t="shared" si="80"/>
        <v>0</v>
      </c>
      <c r="F189" s="84">
        <f t="shared" si="81"/>
        <v>28.829372638932146</v>
      </c>
      <c r="G189" s="15">
        <f t="shared" si="75"/>
        <v>21.587264812415135</v>
      </c>
      <c r="H189" s="15">
        <f t="shared" si="76"/>
        <v>24.001300754587472</v>
      </c>
      <c r="I189" s="15">
        <f t="shared" si="77"/>
        <v>26.415336696759809</v>
      </c>
      <c r="J189" s="15">
        <f t="shared" si="71"/>
        <v>28.829372638932146</v>
      </c>
      <c r="K189" s="15">
        <f t="shared" si="72"/>
        <v>31.243408581104482</v>
      </c>
      <c r="L189" s="15">
        <f t="shared" si="73"/>
        <v>33.657444523276816</v>
      </c>
      <c r="M189" s="15">
        <f t="shared" si="74"/>
        <v>36.071480465449156</v>
      </c>
      <c r="N189" s="15">
        <f t="shared" si="69"/>
        <v>30.277794204235548</v>
      </c>
      <c r="O189" s="84">
        <f t="shared" si="82"/>
        <v>0</v>
      </c>
      <c r="P189" s="84">
        <f t="shared" si="83"/>
        <v>3.6210539132585042</v>
      </c>
      <c r="Q189" s="84">
        <f t="shared" si="84"/>
        <v>3.6210539132585042</v>
      </c>
      <c r="R189" s="15">
        <f t="shared" si="85"/>
        <v>-7.2421078265170085</v>
      </c>
      <c r="S189" s="15">
        <f t="shared" si="86"/>
        <v>-4.8280718843446726</v>
      </c>
      <c r="T189" s="15">
        <f t="shared" si="87"/>
        <v>-2.4140359421723363</v>
      </c>
      <c r="U189" s="16">
        <v>0</v>
      </c>
      <c r="V189" s="15">
        <f t="shared" si="88"/>
        <v>2.4140359421723363</v>
      </c>
      <c r="W189" s="15">
        <f t="shared" si="89"/>
        <v>4.8280718843446726</v>
      </c>
      <c r="X189" s="15">
        <f t="shared" si="90"/>
        <v>7.2421078265170085</v>
      </c>
    </row>
    <row r="190" spans="1:24">
      <c r="A190" s="14">
        <f>'b（手動）計算用'!D74</f>
        <v>79</v>
      </c>
      <c r="B190" s="84">
        <f t="shared" si="91"/>
        <v>28.948286508094814</v>
      </c>
      <c r="C190" s="84">
        <f t="shared" si="78"/>
        <v>0</v>
      </c>
      <c r="D190" s="84">
        <f t="shared" si="79"/>
        <v>0</v>
      </c>
      <c r="E190" s="84">
        <f t="shared" si="80"/>
        <v>0</v>
      </c>
      <c r="F190" s="84">
        <f t="shared" si="81"/>
        <v>28.948286508094814</v>
      </c>
      <c r="G190" s="15">
        <f t="shared" si="75"/>
        <v>21.700652659354468</v>
      </c>
      <c r="H190" s="15">
        <f t="shared" si="76"/>
        <v>24.116530608934582</v>
      </c>
      <c r="I190" s="15">
        <f t="shared" si="77"/>
        <v>26.5324085585147</v>
      </c>
      <c r="J190" s="15">
        <f t="shared" si="71"/>
        <v>28.948286508094814</v>
      </c>
      <c r="K190" s="15">
        <f t="shared" si="72"/>
        <v>31.364164457674928</v>
      </c>
      <c r="L190" s="15">
        <f t="shared" si="73"/>
        <v>33.780042407255046</v>
      </c>
      <c r="M190" s="15">
        <f t="shared" si="74"/>
        <v>36.19592035683516</v>
      </c>
      <c r="N190" s="15">
        <f t="shared" si="69"/>
        <v>30.397813277842882</v>
      </c>
      <c r="O190" s="84">
        <f t="shared" si="82"/>
        <v>0</v>
      </c>
      <c r="P190" s="84">
        <f t="shared" si="83"/>
        <v>3.6238169243701734</v>
      </c>
      <c r="Q190" s="84">
        <f t="shared" si="84"/>
        <v>3.6238169243701734</v>
      </c>
      <c r="R190" s="15">
        <f t="shared" si="85"/>
        <v>-7.2476338487403469</v>
      </c>
      <c r="S190" s="15">
        <f t="shared" si="86"/>
        <v>-4.831755899160231</v>
      </c>
      <c r="T190" s="15">
        <f t="shared" si="87"/>
        <v>-2.4158779495801155</v>
      </c>
      <c r="U190" s="16">
        <v>0</v>
      </c>
      <c r="V190" s="15">
        <f t="shared" si="88"/>
        <v>2.4158779495801155</v>
      </c>
      <c r="W190" s="15">
        <f t="shared" si="89"/>
        <v>4.831755899160231</v>
      </c>
      <c r="X190" s="15">
        <f t="shared" si="90"/>
        <v>7.2476338487403469</v>
      </c>
    </row>
    <row r="191" spans="1:24">
      <c r="A191" s="14">
        <f>'b（手動）計算用'!D75</f>
        <v>80</v>
      </c>
      <c r="B191" s="84">
        <f t="shared" si="91"/>
        <v>29.06407921907179</v>
      </c>
      <c r="C191" s="84">
        <f t="shared" si="78"/>
        <v>0</v>
      </c>
      <c r="D191" s="84">
        <f t="shared" si="79"/>
        <v>0</v>
      </c>
      <c r="E191" s="84">
        <f t="shared" si="80"/>
        <v>0</v>
      </c>
      <c r="F191" s="84">
        <f t="shared" si="81"/>
        <v>29.06407921907179</v>
      </c>
      <c r="G191" s="15">
        <f t="shared" si="75"/>
        <v>21.811317459779229</v>
      </c>
      <c r="H191" s="15">
        <f t="shared" si="76"/>
        <v>24.228904712876748</v>
      </c>
      <c r="I191" s="15">
        <f t="shared" si="77"/>
        <v>26.64649196597427</v>
      </c>
      <c r="J191" s="15">
        <f t="shared" si="71"/>
        <v>29.06407921907179</v>
      </c>
      <c r="K191" s="15">
        <f t="shared" si="72"/>
        <v>31.481666472169309</v>
      </c>
      <c r="L191" s="15">
        <f t="shared" si="73"/>
        <v>33.899253725266831</v>
      </c>
      <c r="M191" s="15">
        <f t="shared" si="74"/>
        <v>36.316840978364354</v>
      </c>
      <c r="N191" s="15">
        <f t="shared" ref="N191:N231" si="92">J191-(($AA$1-2)*W191)</f>
        <v>30.514631570930302</v>
      </c>
      <c r="O191" s="84">
        <f t="shared" si="82"/>
        <v>0</v>
      </c>
      <c r="P191" s="84">
        <f t="shared" si="83"/>
        <v>3.6263808796462804</v>
      </c>
      <c r="Q191" s="84">
        <f t="shared" si="84"/>
        <v>3.6263808796462804</v>
      </c>
      <c r="R191" s="15">
        <f t="shared" si="85"/>
        <v>-7.2527617592925608</v>
      </c>
      <c r="S191" s="15">
        <f t="shared" si="86"/>
        <v>-4.8351745061950409</v>
      </c>
      <c r="T191" s="15">
        <f t="shared" si="87"/>
        <v>-2.4175872530975204</v>
      </c>
      <c r="U191" s="16">
        <v>0</v>
      </c>
      <c r="V191" s="15">
        <f t="shared" si="88"/>
        <v>2.4175872530975204</v>
      </c>
      <c r="W191" s="15">
        <f t="shared" si="89"/>
        <v>4.8351745061950409</v>
      </c>
      <c r="X191" s="15">
        <f t="shared" si="90"/>
        <v>7.2527617592925608</v>
      </c>
    </row>
    <row r="192" spans="1:24">
      <c r="A192" s="14">
        <f>'b（手動）計算用'!D76</f>
        <v>81</v>
      </c>
      <c r="B192" s="84">
        <f t="shared" si="91"/>
        <v>29.176831497034819</v>
      </c>
      <c r="C192" s="84">
        <f t="shared" si="78"/>
        <v>0</v>
      </c>
      <c r="D192" s="84">
        <f t="shared" si="79"/>
        <v>0</v>
      </c>
      <c r="E192" s="84">
        <f t="shared" si="80"/>
        <v>0</v>
      </c>
      <c r="F192" s="84">
        <f t="shared" si="81"/>
        <v>29.176831497034819</v>
      </c>
      <c r="G192" s="15">
        <f t="shared" si="75"/>
        <v>21.919311766527059</v>
      </c>
      <c r="H192" s="15">
        <f t="shared" si="76"/>
        <v>24.338485010029647</v>
      </c>
      <c r="I192" s="15">
        <f t="shared" si="77"/>
        <v>26.757658253532231</v>
      </c>
      <c r="J192" s="15">
        <f t="shared" si="71"/>
        <v>29.176831497034819</v>
      </c>
      <c r="K192" s="15">
        <f t="shared" si="72"/>
        <v>31.596004740537406</v>
      </c>
      <c r="L192" s="15">
        <f t="shared" si="73"/>
        <v>34.015177984039994</v>
      </c>
      <c r="M192" s="15">
        <f t="shared" si="74"/>
        <v>36.434351227542578</v>
      </c>
      <c r="N192" s="15">
        <f t="shared" si="92"/>
        <v>30.628335443136372</v>
      </c>
      <c r="O192" s="84">
        <f t="shared" si="82"/>
        <v>0</v>
      </c>
      <c r="P192" s="84">
        <f t="shared" si="83"/>
        <v>3.6287598652538797</v>
      </c>
      <c r="Q192" s="84">
        <f t="shared" si="84"/>
        <v>3.6287598652538797</v>
      </c>
      <c r="R192" s="15">
        <f t="shared" si="85"/>
        <v>-7.2575197305077594</v>
      </c>
      <c r="S192" s="15">
        <f t="shared" si="86"/>
        <v>-4.8383464870051727</v>
      </c>
      <c r="T192" s="15">
        <f t="shared" si="87"/>
        <v>-2.4191732435025863</v>
      </c>
      <c r="U192" s="16">
        <v>0</v>
      </c>
      <c r="V192" s="15">
        <f t="shared" si="88"/>
        <v>2.4191732435025863</v>
      </c>
      <c r="W192" s="15">
        <f t="shared" si="89"/>
        <v>4.8383464870051727</v>
      </c>
      <c r="X192" s="15">
        <f t="shared" si="90"/>
        <v>7.2575197305077594</v>
      </c>
    </row>
    <row r="193" spans="1:24">
      <c r="A193" s="14">
        <f>'b（手動）計算用'!D77</f>
        <v>82</v>
      </c>
      <c r="B193" s="84">
        <f t="shared" si="91"/>
        <v>29.28662205029131</v>
      </c>
      <c r="C193" s="84">
        <f t="shared" si="78"/>
        <v>0</v>
      </c>
      <c r="D193" s="84">
        <f t="shared" si="79"/>
        <v>0</v>
      </c>
      <c r="E193" s="84">
        <f t="shared" si="80"/>
        <v>0</v>
      </c>
      <c r="F193" s="84">
        <f t="shared" si="81"/>
        <v>29.28662205029131</v>
      </c>
      <c r="G193" s="15">
        <f t="shared" si="75"/>
        <v>22.024688037667424</v>
      </c>
      <c r="H193" s="15">
        <f t="shared" si="76"/>
        <v>24.445332708542054</v>
      </c>
      <c r="I193" s="15">
        <f t="shared" si="77"/>
        <v>26.86597737941668</v>
      </c>
      <c r="J193" s="15">
        <f t="shared" si="71"/>
        <v>29.28662205029131</v>
      </c>
      <c r="K193" s="15">
        <f t="shared" si="72"/>
        <v>31.70726672116594</v>
      </c>
      <c r="L193" s="15">
        <f t="shared" si="73"/>
        <v>34.127911392040566</v>
      </c>
      <c r="M193" s="15">
        <f t="shared" si="74"/>
        <v>36.548556062915196</v>
      </c>
      <c r="N193" s="15">
        <f t="shared" si="92"/>
        <v>30.739008852816088</v>
      </c>
      <c r="O193" s="84">
        <f t="shared" si="82"/>
        <v>0</v>
      </c>
      <c r="P193" s="84">
        <f t="shared" si="83"/>
        <v>3.6309670063119426</v>
      </c>
      <c r="Q193" s="84">
        <f t="shared" si="84"/>
        <v>3.6309670063119426</v>
      </c>
      <c r="R193" s="15">
        <f t="shared" si="85"/>
        <v>-7.2619340126238852</v>
      </c>
      <c r="S193" s="15">
        <f t="shared" si="86"/>
        <v>-4.8412893417492571</v>
      </c>
      <c r="T193" s="15">
        <f t="shared" si="87"/>
        <v>-2.4206446708746285</v>
      </c>
      <c r="U193" s="16">
        <v>0</v>
      </c>
      <c r="V193" s="15">
        <f t="shared" si="88"/>
        <v>2.4206446708746285</v>
      </c>
      <c r="W193" s="15">
        <f t="shared" si="89"/>
        <v>4.8412893417492571</v>
      </c>
      <c r="X193" s="15">
        <f t="shared" si="90"/>
        <v>7.2619340126238852</v>
      </c>
    </row>
    <row r="194" spans="1:24">
      <c r="A194" s="14">
        <f>'b（手動）計算用'!D78</f>
        <v>83</v>
      </c>
      <c r="B194" s="84">
        <f t="shared" si="91"/>
        <v>29.393527616192177</v>
      </c>
      <c r="C194" s="84">
        <f t="shared" si="78"/>
        <v>0</v>
      </c>
      <c r="D194" s="84">
        <f t="shared" si="79"/>
        <v>0</v>
      </c>
      <c r="E194" s="84">
        <f t="shared" si="80"/>
        <v>0</v>
      </c>
      <c r="F194" s="84">
        <f t="shared" si="81"/>
        <v>29.393527616192177</v>
      </c>
      <c r="G194" s="15">
        <f t="shared" si="75"/>
        <v>22.127498561392027</v>
      </c>
      <c r="H194" s="15">
        <f t="shared" si="76"/>
        <v>24.549508246325409</v>
      </c>
      <c r="I194" s="15">
        <f t="shared" si="77"/>
        <v>26.971517931258795</v>
      </c>
      <c r="J194" s="15">
        <f t="shared" si="71"/>
        <v>29.393527616192177</v>
      </c>
      <c r="K194" s="15">
        <f t="shared" si="72"/>
        <v>31.815537301125559</v>
      </c>
      <c r="L194" s="15">
        <f t="shared" si="73"/>
        <v>34.237546986058945</v>
      </c>
      <c r="M194" s="15">
        <f t="shared" si="74"/>
        <v>36.659556670992323</v>
      </c>
      <c r="N194" s="15">
        <f t="shared" si="92"/>
        <v>30.846733427152206</v>
      </c>
      <c r="O194" s="84">
        <f t="shared" si="82"/>
        <v>0</v>
      </c>
      <c r="P194" s="84">
        <f t="shared" si="83"/>
        <v>3.6330145274000745</v>
      </c>
      <c r="Q194" s="84">
        <f t="shared" si="84"/>
        <v>3.6330145274000745</v>
      </c>
      <c r="R194" s="15">
        <f t="shared" si="85"/>
        <v>-7.2660290548001489</v>
      </c>
      <c r="S194" s="15">
        <f t="shared" si="86"/>
        <v>-4.844019369866766</v>
      </c>
      <c r="T194" s="15">
        <f t="shared" si="87"/>
        <v>-2.422009684933383</v>
      </c>
      <c r="U194" s="16">
        <v>0</v>
      </c>
      <c r="V194" s="15">
        <f t="shared" si="88"/>
        <v>2.422009684933383</v>
      </c>
      <c r="W194" s="15">
        <f t="shared" si="89"/>
        <v>4.844019369866766</v>
      </c>
      <c r="X194" s="15">
        <f t="shared" si="90"/>
        <v>7.2660290548001489</v>
      </c>
    </row>
    <row r="195" spans="1:24">
      <c r="A195" s="14">
        <f>'b（手動）計算用'!D79</f>
        <v>84</v>
      </c>
      <c r="B195" s="84">
        <f t="shared" si="91"/>
        <v>29.497623006305542</v>
      </c>
      <c r="C195" s="84">
        <f t="shared" si="78"/>
        <v>0</v>
      </c>
      <c r="D195" s="84">
        <f t="shared" si="79"/>
        <v>0</v>
      </c>
      <c r="E195" s="84">
        <f t="shared" si="80"/>
        <v>0</v>
      </c>
      <c r="F195" s="84">
        <f t="shared" si="81"/>
        <v>29.497623006305542</v>
      </c>
      <c r="G195" s="15">
        <f t="shared" si="75"/>
        <v>22.227795386327969</v>
      </c>
      <c r="H195" s="15">
        <f t="shared" si="76"/>
        <v>24.651071259653826</v>
      </c>
      <c r="I195" s="15">
        <f t="shared" si="77"/>
        <v>27.074347132979682</v>
      </c>
      <c r="J195" s="15">
        <f t="shared" si="71"/>
        <v>29.497623006305542</v>
      </c>
      <c r="K195" s="15">
        <f t="shared" si="72"/>
        <v>31.920898879631402</v>
      </c>
      <c r="L195" s="15">
        <f t="shared" si="73"/>
        <v>34.344174752957258</v>
      </c>
      <c r="M195" s="15">
        <f t="shared" si="74"/>
        <v>36.767450626283114</v>
      </c>
      <c r="N195" s="15">
        <f t="shared" si="92"/>
        <v>30.951588530301056</v>
      </c>
      <c r="O195" s="84">
        <f t="shared" si="82"/>
        <v>0</v>
      </c>
      <c r="P195" s="84">
        <f t="shared" si="83"/>
        <v>3.6349138099887872</v>
      </c>
      <c r="Q195" s="84">
        <f t="shared" si="84"/>
        <v>3.6349138099887872</v>
      </c>
      <c r="R195" s="15">
        <f t="shared" si="85"/>
        <v>-7.2698276199775744</v>
      </c>
      <c r="S195" s="15">
        <f t="shared" si="86"/>
        <v>-4.8465517466517163</v>
      </c>
      <c r="T195" s="15">
        <f t="shared" si="87"/>
        <v>-2.4232758733258581</v>
      </c>
      <c r="U195" s="16">
        <v>0</v>
      </c>
      <c r="V195" s="15">
        <f t="shared" si="88"/>
        <v>2.4232758733258581</v>
      </c>
      <c r="W195" s="15">
        <f t="shared" si="89"/>
        <v>4.8465517466517163</v>
      </c>
      <c r="X195" s="15">
        <f t="shared" si="90"/>
        <v>7.2698276199775744</v>
      </c>
    </row>
    <row r="196" spans="1:24">
      <c r="A196" s="14">
        <f>'b（手動）計算用'!D80</f>
        <v>85</v>
      </c>
      <c r="B196" s="84">
        <f t="shared" si="91"/>
        <v>29.598981150842931</v>
      </c>
      <c r="C196" s="84">
        <f t="shared" si="78"/>
        <v>0</v>
      </c>
      <c r="D196" s="84">
        <f t="shared" si="79"/>
        <v>0</v>
      </c>
      <c r="E196" s="84">
        <f t="shared" si="80"/>
        <v>0</v>
      </c>
      <c r="F196" s="84">
        <f t="shared" si="81"/>
        <v>29.598981150842931</v>
      </c>
      <c r="G196" s="15">
        <f t="shared" si="75"/>
        <v>22.325630257171397</v>
      </c>
      <c r="H196" s="15">
        <f t="shared" si="76"/>
        <v>24.75008055506191</v>
      </c>
      <c r="I196" s="15">
        <f t="shared" si="77"/>
        <v>27.174530852952419</v>
      </c>
      <c r="J196" s="15">
        <f t="shared" si="71"/>
        <v>29.598981150842931</v>
      </c>
      <c r="K196" s="15">
        <f t="shared" si="72"/>
        <v>32.02343144873344</v>
      </c>
      <c r="L196" s="15">
        <f t="shared" si="73"/>
        <v>34.447881746623956</v>
      </c>
      <c r="M196" s="15">
        <f t="shared" si="74"/>
        <v>36.872332044514465</v>
      </c>
      <c r="N196" s="15">
        <f t="shared" si="92"/>
        <v>31.053651329577239</v>
      </c>
      <c r="O196" s="84">
        <f t="shared" si="82"/>
        <v>0</v>
      </c>
      <c r="P196" s="84">
        <f t="shared" si="83"/>
        <v>3.6366754468357669</v>
      </c>
      <c r="Q196" s="84">
        <f t="shared" si="84"/>
        <v>3.6366754468357669</v>
      </c>
      <c r="R196" s="15">
        <f t="shared" si="85"/>
        <v>-7.2733508936715339</v>
      </c>
      <c r="S196" s="15">
        <f t="shared" si="86"/>
        <v>-4.8489005957810223</v>
      </c>
      <c r="T196" s="15">
        <f t="shared" si="87"/>
        <v>-2.4244502978905111</v>
      </c>
      <c r="U196" s="16">
        <v>0</v>
      </c>
      <c r="V196" s="15">
        <f t="shared" si="88"/>
        <v>2.4244502978905111</v>
      </c>
      <c r="W196" s="15">
        <f t="shared" si="89"/>
        <v>4.8489005957810223</v>
      </c>
      <c r="X196" s="15">
        <f t="shared" si="90"/>
        <v>7.2733508936715339</v>
      </c>
    </row>
    <row r="197" spans="1:24">
      <c r="A197" s="14">
        <f>'b（手動）計算用'!D81</f>
        <v>86</v>
      </c>
      <c r="B197" s="84">
        <f t="shared" si="91"/>
        <v>29.697673142327094</v>
      </c>
      <c r="C197" s="84">
        <f t="shared" si="78"/>
        <v>0</v>
      </c>
      <c r="D197" s="84">
        <f t="shared" si="79"/>
        <v>0</v>
      </c>
      <c r="E197" s="84">
        <f t="shared" si="80"/>
        <v>0</v>
      </c>
      <c r="F197" s="84">
        <f t="shared" si="81"/>
        <v>29.697673142327094</v>
      </c>
      <c r="G197" s="15">
        <f t="shared" si="75"/>
        <v>22.421054555501613</v>
      </c>
      <c r="H197" s="15">
        <f t="shared" si="76"/>
        <v>24.846594084443439</v>
      </c>
      <c r="I197" s="15">
        <f t="shared" si="77"/>
        <v>27.272133613385265</v>
      </c>
      <c r="J197" s="15">
        <f t="shared" si="71"/>
        <v>29.697673142327094</v>
      </c>
      <c r="K197" s="15">
        <f t="shared" si="72"/>
        <v>32.123212671268924</v>
      </c>
      <c r="L197" s="15">
        <f t="shared" si="73"/>
        <v>34.54875220021075</v>
      </c>
      <c r="M197" s="15">
        <f t="shared" si="74"/>
        <v>36.974291729152576</v>
      </c>
      <c r="N197" s="15">
        <f t="shared" si="92"/>
        <v>31.152996859692191</v>
      </c>
      <c r="O197" s="84">
        <f t="shared" si="82"/>
        <v>0</v>
      </c>
      <c r="P197" s="84">
        <f t="shared" si="83"/>
        <v>3.6383092934127417</v>
      </c>
      <c r="Q197" s="84">
        <f t="shared" si="84"/>
        <v>3.6383092934127417</v>
      </c>
      <c r="R197" s="15">
        <f t="shared" si="85"/>
        <v>-7.2766185868254833</v>
      </c>
      <c r="S197" s="15">
        <f t="shared" si="86"/>
        <v>-4.8510790578836556</v>
      </c>
      <c r="T197" s="15">
        <f t="shared" si="87"/>
        <v>-2.4255395289418278</v>
      </c>
      <c r="U197" s="16">
        <v>0</v>
      </c>
      <c r="V197" s="15">
        <f t="shared" si="88"/>
        <v>2.4255395289418278</v>
      </c>
      <c r="W197" s="15">
        <f t="shared" si="89"/>
        <v>4.8510790578836556</v>
      </c>
      <c r="X197" s="15">
        <f t="shared" si="90"/>
        <v>7.2766185868254833</v>
      </c>
    </row>
    <row r="198" spans="1:24">
      <c r="A198" s="14">
        <f>'b（手動）計算用'!D82</f>
        <v>87</v>
      </c>
      <c r="B198" s="84">
        <f t="shared" si="91"/>
        <v>29.793768278493449</v>
      </c>
      <c r="C198" s="84">
        <f t="shared" si="78"/>
        <v>0</v>
      </c>
      <c r="D198" s="84">
        <f t="shared" si="79"/>
        <v>0</v>
      </c>
      <c r="E198" s="84">
        <f t="shared" si="80"/>
        <v>0</v>
      </c>
      <c r="F198" s="84">
        <f t="shared" si="81"/>
        <v>29.793768278493449</v>
      </c>
      <c r="G198" s="15">
        <f t="shared" si="75"/>
        <v>22.514119245606633</v>
      </c>
      <c r="H198" s="15">
        <f t="shared" si="76"/>
        <v>24.94066892323557</v>
      </c>
      <c r="I198" s="15">
        <f t="shared" si="77"/>
        <v>27.367218600864511</v>
      </c>
      <c r="J198" s="15">
        <f t="shared" si="71"/>
        <v>29.793768278493449</v>
      </c>
      <c r="K198" s="15">
        <f t="shared" si="72"/>
        <v>32.220317956122386</v>
      </c>
      <c r="L198" s="15">
        <f t="shared" si="73"/>
        <v>34.646867633751327</v>
      </c>
      <c r="M198" s="15">
        <f t="shared" si="74"/>
        <v>37.073417311380268</v>
      </c>
      <c r="N198" s="15">
        <f t="shared" si="92"/>
        <v>31.249698085070811</v>
      </c>
      <c r="O198" s="84">
        <f t="shared" si="82"/>
        <v>0</v>
      </c>
      <c r="P198" s="84">
        <f t="shared" si="83"/>
        <v>3.6398245164434084</v>
      </c>
      <c r="Q198" s="84">
        <f t="shared" si="84"/>
        <v>3.6398245164434084</v>
      </c>
      <c r="R198" s="15">
        <f t="shared" si="85"/>
        <v>-7.2796490328868169</v>
      </c>
      <c r="S198" s="15">
        <f t="shared" si="86"/>
        <v>-4.8530993552578776</v>
      </c>
      <c r="T198" s="15">
        <f t="shared" si="87"/>
        <v>-2.4265496776289388</v>
      </c>
      <c r="U198" s="16">
        <v>0</v>
      </c>
      <c r="V198" s="15">
        <f t="shared" si="88"/>
        <v>2.4265496776289388</v>
      </c>
      <c r="W198" s="15">
        <f t="shared" si="89"/>
        <v>4.8530993552578776</v>
      </c>
      <c r="X198" s="15">
        <f t="shared" si="90"/>
        <v>7.2796490328868169</v>
      </c>
    </row>
    <row r="199" spans="1:24">
      <c r="A199" s="14">
        <f>'b（手動）計算用'!D83</f>
        <v>88</v>
      </c>
      <c r="B199" s="84">
        <f t="shared" si="91"/>
        <v>29.88733410441915</v>
      </c>
      <c r="C199" s="84">
        <f t="shared" si="78"/>
        <v>0</v>
      </c>
      <c r="D199" s="84">
        <f t="shared" si="79"/>
        <v>0</v>
      </c>
      <c r="E199" s="84">
        <f t="shared" si="80"/>
        <v>0</v>
      </c>
      <c r="F199" s="84">
        <f t="shared" si="81"/>
        <v>29.88733410441915</v>
      </c>
      <c r="G199" s="15">
        <f t="shared" si="75"/>
        <v>22.604874825129261</v>
      </c>
      <c r="H199" s="15">
        <f t="shared" si="76"/>
        <v>25.032361251559223</v>
      </c>
      <c r="I199" s="15">
        <f t="shared" si="77"/>
        <v>27.459847677989188</v>
      </c>
      <c r="J199" s="15">
        <f t="shared" si="71"/>
        <v>29.88733410441915</v>
      </c>
      <c r="K199" s="15">
        <f t="shared" si="72"/>
        <v>32.314820530849111</v>
      </c>
      <c r="L199" s="15">
        <f t="shared" si="73"/>
        <v>34.742306957279077</v>
      </c>
      <c r="M199" s="15">
        <f t="shared" si="74"/>
        <v>37.169793383709035</v>
      </c>
      <c r="N199" s="15">
        <f t="shared" si="92"/>
        <v>31.34382596027713</v>
      </c>
      <c r="O199" s="84">
        <f t="shared" si="82"/>
        <v>0</v>
      </c>
      <c r="P199" s="84">
        <f t="shared" si="83"/>
        <v>3.6412296396449442</v>
      </c>
      <c r="Q199" s="84">
        <f t="shared" si="84"/>
        <v>3.6412296396449442</v>
      </c>
      <c r="R199" s="15">
        <f t="shared" si="85"/>
        <v>-7.2824592792898883</v>
      </c>
      <c r="S199" s="15">
        <f t="shared" si="86"/>
        <v>-4.8549728528599259</v>
      </c>
      <c r="T199" s="15">
        <f t="shared" si="87"/>
        <v>-2.4274864264299629</v>
      </c>
      <c r="U199" s="16">
        <v>0</v>
      </c>
      <c r="V199" s="15">
        <f t="shared" si="88"/>
        <v>2.4274864264299629</v>
      </c>
      <c r="W199" s="15">
        <f t="shared" si="89"/>
        <v>4.8549728528599259</v>
      </c>
      <c r="X199" s="15">
        <f t="shared" si="90"/>
        <v>7.2824592792898883</v>
      </c>
    </row>
    <row r="200" spans="1:24">
      <c r="A200" s="14">
        <f>'b（手動）計算用'!D84</f>
        <v>89</v>
      </c>
      <c r="B200" s="84">
        <f t="shared" si="91"/>
        <v>29.978436453876011</v>
      </c>
      <c r="C200" s="84">
        <f t="shared" si="78"/>
        <v>0</v>
      </c>
      <c r="D200" s="84">
        <f t="shared" si="79"/>
        <v>0</v>
      </c>
      <c r="E200" s="84">
        <f t="shared" si="80"/>
        <v>0</v>
      </c>
      <c r="F200" s="84">
        <f t="shared" si="81"/>
        <v>29.978436453876011</v>
      </c>
      <c r="G200" s="15">
        <f t="shared" si="75"/>
        <v>22.693371280326804</v>
      </c>
      <c r="H200" s="15">
        <f t="shared" si="76"/>
        <v>25.12172633817654</v>
      </c>
      <c r="I200" s="15">
        <f t="shared" si="77"/>
        <v>27.550081396026275</v>
      </c>
      <c r="J200" s="15">
        <f t="shared" si="71"/>
        <v>29.978436453876011</v>
      </c>
      <c r="K200" s="15">
        <f t="shared" si="72"/>
        <v>32.406791511725743</v>
      </c>
      <c r="L200" s="15">
        <f t="shared" si="73"/>
        <v>34.835146569575478</v>
      </c>
      <c r="M200" s="15">
        <f t="shared" si="74"/>
        <v>37.263501627425214</v>
      </c>
      <c r="N200" s="15">
        <f t="shared" si="92"/>
        <v>31.435449488585853</v>
      </c>
      <c r="O200" s="84">
        <f t="shared" si="82"/>
        <v>0</v>
      </c>
      <c r="P200" s="84">
        <f t="shared" si="83"/>
        <v>3.6425325867746028</v>
      </c>
      <c r="Q200" s="84">
        <f t="shared" si="84"/>
        <v>3.6425325867746028</v>
      </c>
      <c r="R200" s="15">
        <f t="shared" si="85"/>
        <v>-7.2850651735492056</v>
      </c>
      <c r="S200" s="15">
        <f t="shared" si="86"/>
        <v>-4.8567101156994701</v>
      </c>
      <c r="T200" s="15">
        <f t="shared" si="87"/>
        <v>-2.428355057849735</v>
      </c>
      <c r="U200" s="16">
        <v>0</v>
      </c>
      <c r="V200" s="15">
        <f t="shared" si="88"/>
        <v>2.428355057849735</v>
      </c>
      <c r="W200" s="15">
        <f t="shared" si="89"/>
        <v>4.8567101156994701</v>
      </c>
      <c r="X200" s="15">
        <f t="shared" si="90"/>
        <v>7.2850651735492056</v>
      </c>
    </row>
    <row r="201" spans="1:24">
      <c r="A201" s="14">
        <f>'b（手動）計算用'!D85</f>
        <v>90</v>
      </c>
      <c r="B201" s="84">
        <f t="shared" si="91"/>
        <v>30.067139489905312</v>
      </c>
      <c r="C201" s="84">
        <f t="shared" si="78"/>
        <v>0</v>
      </c>
      <c r="D201" s="84">
        <f t="shared" si="79"/>
        <v>0</v>
      </c>
      <c r="E201" s="84">
        <f t="shared" si="80"/>
        <v>0</v>
      </c>
      <c r="F201" s="84">
        <f t="shared" si="81"/>
        <v>30.067139489905312</v>
      </c>
      <c r="G201" s="15">
        <f t="shared" si="75"/>
        <v>22.779658045726922</v>
      </c>
      <c r="H201" s="15">
        <f t="shared" si="76"/>
        <v>25.208818527119718</v>
      </c>
      <c r="I201" s="15">
        <f t="shared" si="77"/>
        <v>27.637979008512517</v>
      </c>
      <c r="J201" s="15">
        <f t="shared" si="71"/>
        <v>30.067139489905312</v>
      </c>
      <c r="K201" s="15">
        <f t="shared" si="72"/>
        <v>32.496299971298107</v>
      </c>
      <c r="L201" s="15">
        <f t="shared" si="73"/>
        <v>34.925460452690906</v>
      </c>
      <c r="M201" s="15">
        <f t="shared" si="74"/>
        <v>37.354620934083698</v>
      </c>
      <c r="N201" s="15">
        <f t="shared" si="92"/>
        <v>31.52463577874099</v>
      </c>
      <c r="O201" s="84">
        <f t="shared" si="82"/>
        <v>0</v>
      </c>
      <c r="P201" s="84">
        <f t="shared" si="83"/>
        <v>3.6437407220891949</v>
      </c>
      <c r="Q201" s="84">
        <f t="shared" si="84"/>
        <v>3.6437407220891949</v>
      </c>
      <c r="R201" s="15">
        <f t="shared" si="85"/>
        <v>-7.2874814441783897</v>
      </c>
      <c r="S201" s="15">
        <f t="shared" si="86"/>
        <v>-4.8583209627855934</v>
      </c>
      <c r="T201" s="15">
        <f t="shared" si="87"/>
        <v>-2.4291604813927967</v>
      </c>
      <c r="U201" s="16">
        <v>0</v>
      </c>
      <c r="V201" s="15">
        <f t="shared" si="88"/>
        <v>2.4291604813927967</v>
      </c>
      <c r="W201" s="15">
        <f t="shared" si="89"/>
        <v>4.8583209627855934</v>
      </c>
      <c r="X201" s="15">
        <f t="shared" si="90"/>
        <v>7.2874814441783897</v>
      </c>
    </row>
    <row r="202" spans="1:24">
      <c r="A202" s="14">
        <f>'b（手動）計算用'!D86</f>
        <v>91</v>
      </c>
      <c r="B202" s="84">
        <f t="shared" si="91"/>
        <v>30.153505744614197</v>
      </c>
      <c r="C202" s="84">
        <f t="shared" si="78"/>
        <v>0</v>
      </c>
      <c r="D202" s="84">
        <f t="shared" si="79"/>
        <v>0</v>
      </c>
      <c r="E202" s="84">
        <f t="shared" si="80"/>
        <v>0</v>
      </c>
      <c r="F202" s="84">
        <f t="shared" si="81"/>
        <v>30.153505744614197</v>
      </c>
      <c r="G202" s="15">
        <f t="shared" si="75"/>
        <v>22.863783967955541</v>
      </c>
      <c r="H202" s="15">
        <f t="shared" si="76"/>
        <v>25.293691226841759</v>
      </c>
      <c r="I202" s="15">
        <f t="shared" si="77"/>
        <v>27.72359848572798</v>
      </c>
      <c r="J202" s="15">
        <f t="shared" si="71"/>
        <v>30.153505744614197</v>
      </c>
      <c r="K202" s="15">
        <f t="shared" si="72"/>
        <v>32.583413003500418</v>
      </c>
      <c r="L202" s="15">
        <f t="shared" si="73"/>
        <v>35.013320262386635</v>
      </c>
      <c r="M202" s="15">
        <f t="shared" si="74"/>
        <v>37.443227521272853</v>
      </c>
      <c r="N202" s="15">
        <f t="shared" si="92"/>
        <v>31.611450099945927</v>
      </c>
      <c r="O202" s="84">
        <f t="shared" si="82"/>
        <v>0</v>
      </c>
      <c r="P202" s="84">
        <f t="shared" si="83"/>
        <v>3.6448608883293274</v>
      </c>
      <c r="Q202" s="84">
        <f t="shared" si="84"/>
        <v>3.6448608883293274</v>
      </c>
      <c r="R202" s="15">
        <f t="shared" si="85"/>
        <v>-7.2897217766586548</v>
      </c>
      <c r="S202" s="15">
        <f t="shared" si="86"/>
        <v>-4.8598145177724366</v>
      </c>
      <c r="T202" s="15">
        <f t="shared" si="87"/>
        <v>-2.4299072588862183</v>
      </c>
      <c r="U202" s="16">
        <v>0</v>
      </c>
      <c r="V202" s="15">
        <f t="shared" si="88"/>
        <v>2.4299072588862183</v>
      </c>
      <c r="W202" s="15">
        <f t="shared" si="89"/>
        <v>4.8598145177724366</v>
      </c>
      <c r="X202" s="15">
        <f t="shared" si="90"/>
        <v>7.2897217766586548</v>
      </c>
    </row>
    <row r="203" spans="1:24">
      <c r="A203" s="14">
        <f>'b（手動）計算用'!D87</f>
        <v>92</v>
      </c>
      <c r="B203" s="84">
        <f t="shared" si="91"/>
        <v>30.237596158194844</v>
      </c>
      <c r="C203" s="84">
        <f t="shared" si="78"/>
        <v>0</v>
      </c>
      <c r="D203" s="84">
        <f t="shared" si="79"/>
        <v>0</v>
      </c>
      <c r="E203" s="84">
        <f t="shared" si="80"/>
        <v>0</v>
      </c>
      <c r="F203" s="84">
        <f t="shared" si="81"/>
        <v>30.237596158194844</v>
      </c>
      <c r="G203" s="15">
        <f t="shared" si="75"/>
        <v>22.945797273509864</v>
      </c>
      <c r="H203" s="15">
        <f t="shared" si="76"/>
        <v>25.37639690173819</v>
      </c>
      <c r="I203" s="15">
        <f t="shared" si="77"/>
        <v>27.806996529966518</v>
      </c>
      <c r="J203" s="15">
        <f t="shared" si="71"/>
        <v>30.237596158194844</v>
      </c>
      <c r="K203" s="15">
        <f t="shared" si="72"/>
        <v>32.668195786423169</v>
      </c>
      <c r="L203" s="15">
        <f t="shared" si="73"/>
        <v>35.098795414651498</v>
      </c>
      <c r="M203" s="15">
        <f t="shared" si="74"/>
        <v>37.52939504287982</v>
      </c>
      <c r="N203" s="15">
        <f t="shared" si="92"/>
        <v>31.695955935131838</v>
      </c>
      <c r="O203" s="84">
        <f t="shared" si="82"/>
        <v>0</v>
      </c>
      <c r="P203" s="84">
        <f t="shared" si="83"/>
        <v>3.6458994423424893</v>
      </c>
      <c r="Q203" s="84">
        <f t="shared" si="84"/>
        <v>3.6458994423424893</v>
      </c>
      <c r="R203" s="15">
        <f t="shared" si="85"/>
        <v>-7.2917988846849786</v>
      </c>
      <c r="S203" s="15">
        <f t="shared" si="86"/>
        <v>-4.8611992564566524</v>
      </c>
      <c r="T203" s="15">
        <f t="shared" si="87"/>
        <v>-2.4305996282283262</v>
      </c>
      <c r="U203" s="16">
        <v>0</v>
      </c>
      <c r="V203" s="15">
        <f t="shared" si="88"/>
        <v>2.4305996282283262</v>
      </c>
      <c r="W203" s="15">
        <f t="shared" si="89"/>
        <v>4.8611992564566524</v>
      </c>
      <c r="X203" s="15">
        <f t="shared" si="90"/>
        <v>7.2917988846849786</v>
      </c>
    </row>
    <row r="204" spans="1:24">
      <c r="A204" s="14">
        <f>'b（手動）計算用'!D88</f>
        <v>93</v>
      </c>
      <c r="B204" s="84">
        <f t="shared" si="91"/>
        <v>30.31947011716894</v>
      </c>
      <c r="C204" s="84">
        <f t="shared" si="78"/>
        <v>0</v>
      </c>
      <c r="D204" s="84">
        <f t="shared" si="79"/>
        <v>0</v>
      </c>
      <c r="E204" s="84">
        <f t="shared" si="80"/>
        <v>0</v>
      </c>
      <c r="F204" s="84">
        <f t="shared" si="81"/>
        <v>30.31947011716894</v>
      </c>
      <c r="G204" s="15">
        <f t="shared" si="75"/>
        <v>23.025745540249311</v>
      </c>
      <c r="H204" s="15">
        <f t="shared" si="76"/>
        <v>25.456987065889187</v>
      </c>
      <c r="I204" s="15">
        <f t="shared" si="77"/>
        <v>27.888228591529064</v>
      </c>
      <c r="J204" s="15">
        <f t="shared" si="71"/>
        <v>30.31947011716894</v>
      </c>
      <c r="K204" s="15">
        <f t="shared" si="72"/>
        <v>32.750711642808817</v>
      </c>
      <c r="L204" s="15">
        <f t="shared" si="73"/>
        <v>35.181953168448693</v>
      </c>
      <c r="M204" s="15">
        <f t="shared" si="74"/>
        <v>37.61319469408857</v>
      </c>
      <c r="N204" s="15">
        <f t="shared" si="92"/>
        <v>31.778215032552865</v>
      </c>
      <c r="O204" s="84">
        <f t="shared" si="82"/>
        <v>0</v>
      </c>
      <c r="P204" s="84">
        <f t="shared" si="83"/>
        <v>3.6468622884598143</v>
      </c>
      <c r="Q204" s="84">
        <f t="shared" si="84"/>
        <v>3.6468622884598143</v>
      </c>
      <c r="R204" s="15">
        <f t="shared" si="85"/>
        <v>-7.2937245769196286</v>
      </c>
      <c r="S204" s="15">
        <f t="shared" si="86"/>
        <v>-4.8624830512797521</v>
      </c>
      <c r="T204" s="15">
        <f t="shared" si="87"/>
        <v>-2.4312415256398761</v>
      </c>
      <c r="U204" s="16">
        <v>0</v>
      </c>
      <c r="V204" s="15">
        <f t="shared" si="88"/>
        <v>2.4312415256398761</v>
      </c>
      <c r="W204" s="15">
        <f t="shared" si="89"/>
        <v>4.8624830512797521</v>
      </c>
      <c r="X204" s="15">
        <f t="shared" si="90"/>
        <v>7.2937245769196286</v>
      </c>
    </row>
    <row r="205" spans="1:24">
      <c r="A205" s="14">
        <f>'b（手動）計算用'!D89</f>
        <v>94</v>
      </c>
      <c r="B205" s="84">
        <f t="shared" si="91"/>
        <v>30.399185491861182</v>
      </c>
      <c r="C205" s="84">
        <f t="shared" si="78"/>
        <v>0</v>
      </c>
      <c r="D205" s="84">
        <f t="shared" si="79"/>
        <v>0</v>
      </c>
      <c r="E205" s="84">
        <f t="shared" si="80"/>
        <v>0</v>
      </c>
      <c r="F205" s="84">
        <f t="shared" si="81"/>
        <v>30.399185491861182</v>
      </c>
      <c r="G205" s="15">
        <f t="shared" si="75"/>
        <v>23.10367567237963</v>
      </c>
      <c r="H205" s="15">
        <f t="shared" si="76"/>
        <v>25.535512278873483</v>
      </c>
      <c r="I205" s="15">
        <f t="shared" si="77"/>
        <v>27.967348885367333</v>
      </c>
      <c r="J205" s="15">
        <f t="shared" si="71"/>
        <v>30.399185491861182</v>
      </c>
      <c r="K205" s="15">
        <f t="shared" si="72"/>
        <v>32.831022098355035</v>
      </c>
      <c r="L205" s="15">
        <f t="shared" si="73"/>
        <v>35.262858704848881</v>
      </c>
      <c r="M205" s="15">
        <f t="shared" si="74"/>
        <v>37.694695311342734</v>
      </c>
      <c r="N205" s="15">
        <f t="shared" si="92"/>
        <v>31.858287455757491</v>
      </c>
      <c r="O205" s="84">
        <f t="shared" si="82"/>
        <v>0</v>
      </c>
      <c r="P205" s="84">
        <f t="shared" si="83"/>
        <v>3.6477549097407751</v>
      </c>
      <c r="Q205" s="84">
        <f t="shared" si="84"/>
        <v>3.6477549097407751</v>
      </c>
      <c r="R205" s="15">
        <f t="shared" si="85"/>
        <v>-7.2955098194815502</v>
      </c>
      <c r="S205" s="15">
        <f t="shared" si="86"/>
        <v>-4.8636732129876998</v>
      </c>
      <c r="T205" s="15">
        <f t="shared" si="87"/>
        <v>-2.4318366064938499</v>
      </c>
      <c r="U205" s="16">
        <v>0</v>
      </c>
      <c r="V205" s="15">
        <f t="shared" si="88"/>
        <v>2.4318366064938499</v>
      </c>
      <c r="W205" s="15">
        <f t="shared" si="89"/>
        <v>4.8636732129876998</v>
      </c>
      <c r="X205" s="15">
        <f t="shared" si="90"/>
        <v>7.2955098194815502</v>
      </c>
    </row>
    <row r="206" spans="1:24">
      <c r="A206" s="14">
        <f>'b（手動）計算用'!D90</f>
        <v>95</v>
      </c>
      <c r="B206" s="84">
        <f t="shared" si="91"/>
        <v>30.476798673106668</v>
      </c>
      <c r="C206" s="84">
        <f t="shared" si="78"/>
        <v>0</v>
      </c>
      <c r="D206" s="84">
        <f t="shared" si="79"/>
        <v>0</v>
      </c>
      <c r="E206" s="84">
        <f t="shared" si="80"/>
        <v>0</v>
      </c>
      <c r="F206" s="84">
        <f t="shared" si="81"/>
        <v>30.476798673106668</v>
      </c>
      <c r="G206" s="15">
        <f t="shared" si="75"/>
        <v>23.179633878709534</v>
      </c>
      <c r="H206" s="15">
        <f t="shared" si="76"/>
        <v>25.612022143508579</v>
      </c>
      <c r="I206" s="15">
        <f t="shared" si="77"/>
        <v>28.044410408307623</v>
      </c>
      <c r="J206" s="15">
        <f t="shared" si="71"/>
        <v>30.476798673106668</v>
      </c>
      <c r="K206" s="15">
        <f t="shared" si="72"/>
        <v>32.909186937905716</v>
      </c>
      <c r="L206" s="15">
        <f t="shared" si="73"/>
        <v>35.34157520270476</v>
      </c>
      <c r="M206" s="15">
        <f t="shared" si="74"/>
        <v>37.773963467503805</v>
      </c>
      <c r="N206" s="15">
        <f t="shared" si="92"/>
        <v>31.936231631986093</v>
      </c>
      <c r="O206" s="84">
        <f t="shared" si="82"/>
        <v>0</v>
      </c>
      <c r="P206" s="84">
        <f t="shared" si="83"/>
        <v>3.6485823971985667</v>
      </c>
      <c r="Q206" s="84">
        <f t="shared" si="84"/>
        <v>3.6485823971985667</v>
      </c>
      <c r="R206" s="15">
        <f t="shared" si="85"/>
        <v>-7.2971647943971334</v>
      </c>
      <c r="S206" s="15">
        <f t="shared" si="86"/>
        <v>-4.8647765295980889</v>
      </c>
      <c r="T206" s="15">
        <f t="shared" si="87"/>
        <v>-2.4323882647990445</v>
      </c>
      <c r="U206" s="16">
        <v>0</v>
      </c>
      <c r="V206" s="15">
        <f t="shared" si="88"/>
        <v>2.4323882647990445</v>
      </c>
      <c r="W206" s="15">
        <f t="shared" si="89"/>
        <v>4.8647765295980889</v>
      </c>
      <c r="X206" s="15">
        <f t="shared" si="90"/>
        <v>7.2971647943971334</v>
      </c>
    </row>
    <row r="207" spans="1:24">
      <c r="A207" s="14">
        <f>'b（手動）計算用'!D91</f>
        <v>96</v>
      </c>
      <c r="B207" s="84">
        <f t="shared" si="91"/>
        <v>30.552364608197799</v>
      </c>
      <c r="C207" s="84">
        <f t="shared" si="78"/>
        <v>0</v>
      </c>
      <c r="D207" s="84">
        <f t="shared" si="79"/>
        <v>0</v>
      </c>
      <c r="E207" s="84">
        <f t="shared" si="80"/>
        <v>0</v>
      </c>
      <c r="F207" s="84">
        <f t="shared" si="81"/>
        <v>30.552364608197799</v>
      </c>
      <c r="G207" s="15">
        <f t="shared" si="75"/>
        <v>23.253665653964635</v>
      </c>
      <c r="H207" s="15">
        <f t="shared" si="76"/>
        <v>25.686565305375691</v>
      </c>
      <c r="I207" s="15">
        <f t="shared" si="77"/>
        <v>28.119464956786743</v>
      </c>
      <c r="J207" s="15">
        <f t="shared" si="71"/>
        <v>30.552364608197799</v>
      </c>
      <c r="K207" s="15">
        <f t="shared" si="72"/>
        <v>32.985264259608854</v>
      </c>
      <c r="L207" s="15">
        <f t="shared" si="73"/>
        <v>35.41816391101991</v>
      </c>
      <c r="M207" s="15">
        <f t="shared" si="74"/>
        <v>37.851063562430959</v>
      </c>
      <c r="N207" s="15">
        <f t="shared" si="92"/>
        <v>32.012104399044432</v>
      </c>
      <c r="O207" s="84">
        <f t="shared" si="82"/>
        <v>0</v>
      </c>
      <c r="P207" s="84">
        <f t="shared" si="83"/>
        <v>3.6493494771165813</v>
      </c>
      <c r="Q207" s="84">
        <f t="shared" si="84"/>
        <v>3.6493494771165813</v>
      </c>
      <c r="R207" s="15">
        <f t="shared" si="85"/>
        <v>-7.2986989542331626</v>
      </c>
      <c r="S207" s="15">
        <f t="shared" si="86"/>
        <v>-4.8657993028221087</v>
      </c>
      <c r="T207" s="15">
        <f t="shared" si="87"/>
        <v>-2.4328996514110544</v>
      </c>
      <c r="U207" s="16">
        <v>0</v>
      </c>
      <c r="V207" s="15">
        <f t="shared" si="88"/>
        <v>2.4328996514110544</v>
      </c>
      <c r="W207" s="15">
        <f t="shared" si="89"/>
        <v>4.8657993028221087</v>
      </c>
      <c r="X207" s="15">
        <f t="shared" si="90"/>
        <v>7.2986989542331626</v>
      </c>
    </row>
    <row r="208" spans="1:24">
      <c r="A208" s="14">
        <f>'b（手動）計算用'!D92</f>
        <v>97</v>
      </c>
      <c r="B208" s="84">
        <f t="shared" si="91"/>
        <v>30.62593683607744</v>
      </c>
      <c r="C208" s="84">
        <f t="shared" si="78"/>
        <v>0</v>
      </c>
      <c r="D208" s="84">
        <f t="shared" si="79"/>
        <v>0</v>
      </c>
      <c r="E208" s="84">
        <f t="shared" si="80"/>
        <v>0</v>
      </c>
      <c r="F208" s="84">
        <f t="shared" si="81"/>
        <v>30.62593683607744</v>
      </c>
      <c r="G208" s="15">
        <f t="shared" si="75"/>
        <v>23.325815762950555</v>
      </c>
      <c r="H208" s="15">
        <f t="shared" si="76"/>
        <v>25.75918945399285</v>
      </c>
      <c r="I208" s="15">
        <f t="shared" si="77"/>
        <v>28.192563145035145</v>
      </c>
      <c r="J208" s="15">
        <f t="shared" si="71"/>
        <v>30.62593683607744</v>
      </c>
      <c r="K208" s="15">
        <f t="shared" si="72"/>
        <v>33.059310527119735</v>
      </c>
      <c r="L208" s="15">
        <f t="shared" si="73"/>
        <v>35.492684218162026</v>
      </c>
      <c r="M208" s="15">
        <f t="shared" si="74"/>
        <v>37.926057909204324</v>
      </c>
      <c r="N208" s="15">
        <f t="shared" si="92"/>
        <v>32.085961050702814</v>
      </c>
      <c r="O208" s="84">
        <f t="shared" si="82"/>
        <v>0</v>
      </c>
      <c r="P208" s="84">
        <f t="shared" si="83"/>
        <v>3.650060536563442</v>
      </c>
      <c r="Q208" s="84">
        <f t="shared" si="84"/>
        <v>3.650060536563442</v>
      </c>
      <c r="R208" s="15">
        <f t="shared" si="85"/>
        <v>-7.300121073126884</v>
      </c>
      <c r="S208" s="15">
        <f t="shared" si="86"/>
        <v>-4.866747382084589</v>
      </c>
      <c r="T208" s="15">
        <f t="shared" si="87"/>
        <v>-2.4333736910422945</v>
      </c>
      <c r="U208" s="16">
        <v>0</v>
      </c>
      <c r="V208" s="15">
        <f t="shared" si="88"/>
        <v>2.4333736910422945</v>
      </c>
      <c r="W208" s="15">
        <f t="shared" si="89"/>
        <v>4.866747382084589</v>
      </c>
      <c r="X208" s="15">
        <f t="shared" si="90"/>
        <v>7.300121073126884</v>
      </c>
    </row>
    <row r="209" spans="1:24">
      <c r="A209" s="14">
        <f>'b（手動）計算用'!D93</f>
        <v>98</v>
      </c>
      <c r="B209" s="84">
        <f t="shared" si="91"/>
        <v>30.69756752178559</v>
      </c>
      <c r="C209" s="84">
        <f t="shared" si="78"/>
        <v>0</v>
      </c>
      <c r="D209" s="84">
        <f t="shared" si="79"/>
        <v>0</v>
      </c>
      <c r="E209" s="84">
        <f t="shared" si="80"/>
        <v>0</v>
      </c>
      <c r="F209" s="84">
        <f t="shared" si="81"/>
        <v>30.69756752178559</v>
      </c>
      <c r="G209" s="15">
        <f t="shared" si="75"/>
        <v>23.396128227364365</v>
      </c>
      <c r="H209" s="15">
        <f t="shared" si="76"/>
        <v>25.829941325504773</v>
      </c>
      <c r="I209" s="15">
        <f t="shared" si="77"/>
        <v>28.263754423645182</v>
      </c>
      <c r="J209" s="15">
        <f t="shared" si="71"/>
        <v>30.69756752178559</v>
      </c>
      <c r="K209" s="15">
        <f t="shared" si="72"/>
        <v>33.131380619925999</v>
      </c>
      <c r="L209" s="15">
        <f t="shared" si="73"/>
        <v>35.565193718066411</v>
      </c>
      <c r="M209" s="15">
        <f t="shared" si="74"/>
        <v>37.999006816206816</v>
      </c>
      <c r="N209" s="15">
        <f t="shared" si="92"/>
        <v>32.157855380669837</v>
      </c>
      <c r="O209" s="84">
        <f t="shared" si="82"/>
        <v>0</v>
      </c>
      <c r="P209" s="84">
        <f t="shared" si="83"/>
        <v>3.6507196472106136</v>
      </c>
      <c r="Q209" s="84">
        <f t="shared" si="84"/>
        <v>3.6507196472106136</v>
      </c>
      <c r="R209" s="15">
        <f t="shared" si="85"/>
        <v>-7.3014392944212272</v>
      </c>
      <c r="S209" s="15">
        <f t="shared" si="86"/>
        <v>-4.8676261962808178</v>
      </c>
      <c r="T209" s="15">
        <f t="shared" si="87"/>
        <v>-2.4338130981404089</v>
      </c>
      <c r="U209" s="16">
        <v>0</v>
      </c>
      <c r="V209" s="15">
        <f t="shared" si="88"/>
        <v>2.4338130981404089</v>
      </c>
      <c r="W209" s="15">
        <f t="shared" si="89"/>
        <v>4.8676261962808178</v>
      </c>
      <c r="X209" s="15">
        <f t="shared" si="90"/>
        <v>7.3014392944212272</v>
      </c>
    </row>
    <row r="210" spans="1:24">
      <c r="A210" s="14">
        <f>'b（手動）計算用'!D94</f>
        <v>99</v>
      </c>
      <c r="B210" s="84">
        <f t="shared" si="91"/>
        <v>30.767307490167546</v>
      </c>
      <c r="C210" s="84">
        <f t="shared" si="78"/>
        <v>0</v>
      </c>
      <c r="D210" s="84">
        <f t="shared" si="79"/>
        <v>0</v>
      </c>
      <c r="E210" s="84">
        <f t="shared" si="80"/>
        <v>0</v>
      </c>
      <c r="F210" s="84">
        <f t="shared" si="81"/>
        <v>30.767307490167546</v>
      </c>
      <c r="G210" s="15">
        <f t="shared" si="75"/>
        <v>23.464646315061771</v>
      </c>
      <c r="H210" s="15">
        <f t="shared" si="76"/>
        <v>25.898866706763698</v>
      </c>
      <c r="I210" s="15">
        <f t="shared" si="77"/>
        <v>28.333087098465622</v>
      </c>
      <c r="J210" s="15">
        <f t="shared" si="71"/>
        <v>30.767307490167546</v>
      </c>
      <c r="K210" s="15">
        <f t="shared" si="72"/>
        <v>33.201527881869474</v>
      </c>
      <c r="L210" s="15">
        <f t="shared" si="73"/>
        <v>35.635748273571394</v>
      </c>
      <c r="M210" s="15">
        <f t="shared" si="74"/>
        <v>38.069968665273322</v>
      </c>
      <c r="N210" s="15">
        <f t="shared" si="92"/>
        <v>32.227839725188701</v>
      </c>
      <c r="O210" s="84">
        <f t="shared" si="82"/>
        <v>0</v>
      </c>
      <c r="P210" s="84">
        <f t="shared" si="83"/>
        <v>3.6513305875528874</v>
      </c>
      <c r="Q210" s="84">
        <f t="shared" si="84"/>
        <v>3.6513305875528874</v>
      </c>
      <c r="R210" s="15">
        <f t="shared" si="85"/>
        <v>-7.3026611751057748</v>
      </c>
      <c r="S210" s="15">
        <f t="shared" si="86"/>
        <v>-4.8684407834038499</v>
      </c>
      <c r="T210" s="15">
        <f t="shared" si="87"/>
        <v>-2.4342203917019249</v>
      </c>
      <c r="U210" s="16">
        <v>0</v>
      </c>
      <c r="V210" s="15">
        <f t="shared" si="88"/>
        <v>2.4342203917019249</v>
      </c>
      <c r="W210" s="15">
        <f t="shared" si="89"/>
        <v>4.8684407834038499</v>
      </c>
      <c r="X210" s="15">
        <f t="shared" si="90"/>
        <v>7.3026611751057748</v>
      </c>
    </row>
    <row r="211" spans="1:24">
      <c r="A211" s="14">
        <f>'b（手動）計算用'!D95</f>
        <v>100</v>
      </c>
      <c r="B211" s="84">
        <f t="shared" si="91"/>
        <v>30.835206258852274</v>
      </c>
      <c r="C211" s="84">
        <f t="shared" si="78"/>
        <v>0</v>
      </c>
      <c r="D211" s="84">
        <f t="shared" si="79"/>
        <v>0</v>
      </c>
      <c r="E211" s="84">
        <f t="shared" si="80"/>
        <v>0</v>
      </c>
      <c r="F211" s="84">
        <f t="shared" si="81"/>
        <v>30.835206258852274</v>
      </c>
      <c r="G211" s="15">
        <f t="shared" si="75"/>
        <v>23.531412531596381</v>
      </c>
      <c r="H211" s="15">
        <f t="shared" si="76"/>
        <v>25.966010440681679</v>
      </c>
      <c r="I211" s="15">
        <f t="shared" si="77"/>
        <v>28.400608349766976</v>
      </c>
      <c r="J211" s="15">
        <f t="shared" si="71"/>
        <v>30.835206258852274</v>
      </c>
      <c r="K211" s="15">
        <f t="shared" si="72"/>
        <v>33.269804167937572</v>
      </c>
      <c r="L211" s="15">
        <f t="shared" si="73"/>
        <v>35.70440207702287</v>
      </c>
      <c r="M211" s="15">
        <f t="shared" si="74"/>
        <v>38.138999986108168</v>
      </c>
      <c r="N211" s="15">
        <f t="shared" si="92"/>
        <v>32.295965004303454</v>
      </c>
      <c r="O211" s="84">
        <f t="shared" si="82"/>
        <v>0</v>
      </c>
      <c r="P211" s="84">
        <f t="shared" si="83"/>
        <v>3.6518968636279467</v>
      </c>
      <c r="Q211" s="84">
        <f t="shared" si="84"/>
        <v>3.6518968636279467</v>
      </c>
      <c r="R211" s="15">
        <f t="shared" si="85"/>
        <v>-7.3037937272558935</v>
      </c>
      <c r="S211" s="15">
        <f t="shared" si="86"/>
        <v>-4.8691958181705957</v>
      </c>
      <c r="T211" s="15">
        <f t="shared" si="87"/>
        <v>-2.4345979090852978</v>
      </c>
      <c r="U211" s="16">
        <v>0</v>
      </c>
      <c r="V211" s="15">
        <f t="shared" si="88"/>
        <v>2.4345979090852978</v>
      </c>
      <c r="W211" s="15">
        <f t="shared" si="89"/>
        <v>4.8691958181705957</v>
      </c>
      <c r="X211" s="15">
        <f t="shared" si="90"/>
        <v>7.3037937272558935</v>
      </c>
    </row>
    <row r="212" spans="1:24">
      <c r="A212" s="14">
        <f>'b（手動）計算用'!D96</f>
        <v>101</v>
      </c>
      <c r="B212" s="84">
        <f t="shared" si="91"/>
        <v>30.901312070509935</v>
      </c>
      <c r="C212" s="84">
        <f t="shared" si="78"/>
        <v>0</v>
      </c>
      <c r="D212" s="84">
        <f t="shared" si="79"/>
        <v>0</v>
      </c>
      <c r="E212" s="84">
        <f t="shared" si="80"/>
        <v>0</v>
      </c>
      <c r="F212" s="84">
        <f t="shared" si="81"/>
        <v>30.901312070509935</v>
      </c>
      <c r="G212" s="15">
        <f t="shared" si="75"/>
        <v>23.596468613855709</v>
      </c>
      <c r="H212" s="15">
        <f t="shared" si="76"/>
        <v>26.03141643274045</v>
      </c>
      <c r="I212" s="15">
        <f t="shared" si="77"/>
        <v>28.466364251625194</v>
      </c>
      <c r="J212" s="15">
        <f t="shared" si="71"/>
        <v>30.901312070509935</v>
      </c>
      <c r="K212" s="15">
        <f t="shared" si="72"/>
        <v>33.336259889394675</v>
      </c>
      <c r="L212" s="15">
        <f t="shared" si="73"/>
        <v>35.77120770827942</v>
      </c>
      <c r="M212" s="15">
        <f t="shared" si="74"/>
        <v>38.206155527164157</v>
      </c>
      <c r="N212" s="15">
        <f t="shared" si="92"/>
        <v>32.362280761840779</v>
      </c>
      <c r="O212" s="84">
        <f t="shared" si="82"/>
        <v>0</v>
      </c>
      <c r="P212" s="84">
        <f t="shared" si="83"/>
        <v>3.6524217283271128</v>
      </c>
      <c r="Q212" s="84">
        <f t="shared" si="84"/>
        <v>3.6524217283271128</v>
      </c>
      <c r="R212" s="15">
        <f t="shared" si="85"/>
        <v>-7.3048434566542255</v>
      </c>
      <c r="S212" s="15">
        <f t="shared" si="86"/>
        <v>-4.869895637769484</v>
      </c>
      <c r="T212" s="15">
        <f t="shared" si="87"/>
        <v>-2.434947818884742</v>
      </c>
      <c r="U212" s="16">
        <v>0</v>
      </c>
      <c r="V212" s="15">
        <f t="shared" si="88"/>
        <v>2.434947818884742</v>
      </c>
      <c r="W212" s="15">
        <f t="shared" si="89"/>
        <v>4.869895637769484</v>
      </c>
      <c r="X212" s="15">
        <f t="shared" si="90"/>
        <v>7.3048434566542255</v>
      </c>
    </row>
    <row r="213" spans="1:24">
      <c r="A213" s="14">
        <f>'b（手動）計算用'!D97</f>
        <v>102</v>
      </c>
      <c r="B213" s="84">
        <f t="shared" si="91"/>
        <v>30.965671924398183</v>
      </c>
      <c r="C213" s="84">
        <f t="shared" si="78"/>
        <v>0</v>
      </c>
      <c r="D213" s="84">
        <f t="shared" si="79"/>
        <v>0</v>
      </c>
      <c r="E213" s="84">
        <f t="shared" si="80"/>
        <v>0</v>
      </c>
      <c r="F213" s="84">
        <f t="shared" si="81"/>
        <v>30.965671924398183</v>
      </c>
      <c r="G213" s="15">
        <f t="shared" si="75"/>
        <v>23.659855525628039</v>
      </c>
      <c r="H213" s="15">
        <f t="shared" si="76"/>
        <v>26.095127658551419</v>
      </c>
      <c r="I213" s="15">
        <f t="shared" si="77"/>
        <v>28.530399791474803</v>
      </c>
      <c r="J213" s="15">
        <f t="shared" si="71"/>
        <v>30.965671924398183</v>
      </c>
      <c r="K213" s="15">
        <f t="shared" si="72"/>
        <v>33.400944057321567</v>
      </c>
      <c r="L213" s="15">
        <f t="shared" si="73"/>
        <v>35.836216190244947</v>
      </c>
      <c r="M213" s="15">
        <f t="shared" si="74"/>
        <v>38.271488323168327</v>
      </c>
      <c r="N213" s="15">
        <f t="shared" si="92"/>
        <v>32.426835204152212</v>
      </c>
      <c r="O213" s="84">
        <f t="shared" si="82"/>
        <v>0</v>
      </c>
      <c r="P213" s="84">
        <f t="shared" si="83"/>
        <v>3.6529081993850716</v>
      </c>
      <c r="Q213" s="84">
        <f t="shared" si="84"/>
        <v>3.6529081993850716</v>
      </c>
      <c r="R213" s="15">
        <f t="shared" si="85"/>
        <v>-7.3058163987701432</v>
      </c>
      <c r="S213" s="15">
        <f t="shared" si="86"/>
        <v>-4.8705442658467621</v>
      </c>
      <c r="T213" s="15">
        <f t="shared" si="87"/>
        <v>-2.4352721329233811</v>
      </c>
      <c r="U213" s="16">
        <v>0</v>
      </c>
      <c r="V213" s="15">
        <f t="shared" si="88"/>
        <v>2.4352721329233811</v>
      </c>
      <c r="W213" s="15">
        <f t="shared" si="89"/>
        <v>4.8705442658467621</v>
      </c>
      <c r="X213" s="15">
        <f t="shared" si="90"/>
        <v>7.3058163987701432</v>
      </c>
    </row>
    <row r="214" spans="1:24">
      <c r="A214" s="14">
        <f>'b（手動）計算用'!D98</f>
        <v>103</v>
      </c>
      <c r="B214" s="84">
        <f t="shared" si="91"/>
        <v>31.02833160720715</v>
      </c>
      <c r="C214" s="84">
        <f t="shared" si="78"/>
        <v>0</v>
      </c>
      <c r="D214" s="84">
        <f t="shared" si="79"/>
        <v>0</v>
      </c>
      <c r="E214" s="84">
        <f t="shared" si="80"/>
        <v>0</v>
      </c>
      <c r="F214" s="84">
        <f t="shared" si="81"/>
        <v>31.02833160720715</v>
      </c>
      <c r="G214" s="15">
        <f t="shared" si="75"/>
        <v>23.721613454942961</v>
      </c>
      <c r="H214" s="15">
        <f t="shared" si="76"/>
        <v>26.157186172364359</v>
      </c>
      <c r="I214" s="15">
        <f t="shared" si="77"/>
        <v>28.592758889785756</v>
      </c>
      <c r="J214" s="15">
        <f t="shared" si="71"/>
        <v>31.02833160720715</v>
      </c>
      <c r="K214" s="15">
        <f t="shared" si="72"/>
        <v>33.463904324628544</v>
      </c>
      <c r="L214" s="15">
        <f t="shared" si="73"/>
        <v>35.899477042049938</v>
      </c>
      <c r="M214" s="15">
        <f t="shared" si="74"/>
        <v>38.335049759471339</v>
      </c>
      <c r="N214" s="15">
        <f t="shared" si="92"/>
        <v>32.489675237659988</v>
      </c>
      <c r="O214" s="84">
        <f t="shared" si="82"/>
        <v>0</v>
      </c>
      <c r="P214" s="84">
        <f t="shared" si="83"/>
        <v>3.6533590761320935</v>
      </c>
      <c r="Q214" s="84">
        <f t="shared" si="84"/>
        <v>3.6533590761320935</v>
      </c>
      <c r="R214" s="15">
        <f t="shared" si="85"/>
        <v>-7.3067181522641871</v>
      </c>
      <c r="S214" s="15">
        <f t="shared" si="86"/>
        <v>-4.8711454348427914</v>
      </c>
      <c r="T214" s="15">
        <f t="shared" si="87"/>
        <v>-2.4355727174213957</v>
      </c>
      <c r="U214" s="16">
        <v>0</v>
      </c>
      <c r="V214" s="15">
        <f t="shared" si="88"/>
        <v>2.4355727174213957</v>
      </c>
      <c r="W214" s="15">
        <f t="shared" si="89"/>
        <v>4.8711454348427914</v>
      </c>
      <c r="X214" s="15">
        <f t="shared" si="90"/>
        <v>7.3067181522641871</v>
      </c>
    </row>
    <row r="215" spans="1:24">
      <c r="A215" s="14">
        <f>'b（手動）計算用'!D99</f>
        <v>104</v>
      </c>
      <c r="B215" s="84">
        <f t="shared" si="91"/>
        <v>31.089335723213324</v>
      </c>
      <c r="C215" s="84">
        <f t="shared" si="78"/>
        <v>0</v>
      </c>
      <c r="D215" s="84">
        <f t="shared" si="79"/>
        <v>0</v>
      </c>
      <c r="E215" s="84">
        <f t="shared" si="80"/>
        <v>0</v>
      </c>
      <c r="F215" s="84">
        <f t="shared" si="81"/>
        <v>31.089335723213324</v>
      </c>
      <c r="G215" s="15">
        <f t="shared" si="75"/>
        <v>23.781781813037302</v>
      </c>
      <c r="H215" s="15">
        <f t="shared" si="76"/>
        <v>26.217633116429308</v>
      </c>
      <c r="I215" s="15">
        <f t="shared" si="77"/>
        <v>28.653484419821318</v>
      </c>
      <c r="J215" s="15">
        <f t="shared" si="71"/>
        <v>31.089335723213324</v>
      </c>
      <c r="K215" s="15">
        <f t="shared" si="72"/>
        <v>33.52518702660533</v>
      </c>
      <c r="L215" s="15">
        <f t="shared" si="73"/>
        <v>35.961038329997336</v>
      </c>
      <c r="M215" s="15">
        <f t="shared" si="74"/>
        <v>38.39688963338935</v>
      </c>
      <c r="N215" s="15">
        <f t="shared" si="92"/>
        <v>32.550846505248529</v>
      </c>
      <c r="O215" s="84">
        <f t="shared" si="82"/>
        <v>0</v>
      </c>
      <c r="P215" s="84">
        <f t="shared" si="83"/>
        <v>3.653776955088011</v>
      </c>
      <c r="Q215" s="84">
        <f t="shared" si="84"/>
        <v>3.653776955088011</v>
      </c>
      <c r="R215" s="15">
        <f t="shared" si="85"/>
        <v>-7.3075539101760221</v>
      </c>
      <c r="S215" s="15">
        <f t="shared" si="86"/>
        <v>-4.871702606784015</v>
      </c>
      <c r="T215" s="15">
        <f t="shared" si="87"/>
        <v>-2.4358513033920075</v>
      </c>
      <c r="U215" s="16">
        <v>0</v>
      </c>
      <c r="V215" s="15">
        <f t="shared" si="88"/>
        <v>2.4358513033920075</v>
      </c>
      <c r="W215" s="15">
        <f t="shared" si="89"/>
        <v>4.871702606784015</v>
      </c>
      <c r="X215" s="15">
        <f t="shared" si="90"/>
        <v>7.3075539101760221</v>
      </c>
    </row>
    <row r="216" spans="1:24">
      <c r="A216" s="14">
        <f>'b（手動）計算用'!D100</f>
        <v>105</v>
      </c>
      <c r="B216" s="84">
        <f t="shared" si="91"/>
        <v>31.148727723752835</v>
      </c>
      <c r="C216" s="84">
        <f t="shared" si="78"/>
        <v>0</v>
      </c>
      <c r="D216" s="84">
        <f t="shared" si="79"/>
        <v>0</v>
      </c>
      <c r="E216" s="84">
        <f t="shared" si="80"/>
        <v>0</v>
      </c>
      <c r="F216" s="84">
        <f t="shared" si="81"/>
        <v>31.148727723752835</v>
      </c>
      <c r="G216" s="15">
        <f t="shared" si="75"/>
        <v>23.840399234806849</v>
      </c>
      <c r="H216" s="15">
        <f t="shared" si="76"/>
        <v>26.276508731122178</v>
      </c>
      <c r="I216" s="15">
        <f t="shared" si="77"/>
        <v>28.712618227437506</v>
      </c>
      <c r="J216" s="15">
        <f t="shared" si="71"/>
        <v>31.148727723752835</v>
      </c>
      <c r="K216" s="15">
        <f t="shared" si="72"/>
        <v>33.584837220068167</v>
      </c>
      <c r="L216" s="15">
        <f t="shared" si="73"/>
        <v>36.020946716383492</v>
      </c>
      <c r="M216" s="15">
        <f t="shared" si="74"/>
        <v>38.457056212698816</v>
      </c>
      <c r="N216" s="15">
        <f t="shared" si="92"/>
        <v>32.610393421542035</v>
      </c>
      <c r="O216" s="84">
        <f t="shared" si="82"/>
        <v>0</v>
      </c>
      <c r="P216" s="84">
        <f t="shared" si="83"/>
        <v>3.6541642444729927</v>
      </c>
      <c r="Q216" s="84">
        <f t="shared" si="84"/>
        <v>3.6541642444729927</v>
      </c>
      <c r="R216" s="15">
        <f t="shared" si="85"/>
        <v>-7.3083284889459854</v>
      </c>
      <c r="S216" s="15">
        <f t="shared" si="86"/>
        <v>-4.8722189926306569</v>
      </c>
      <c r="T216" s="15">
        <f t="shared" si="87"/>
        <v>-2.4361094963153285</v>
      </c>
      <c r="U216" s="16">
        <v>0</v>
      </c>
      <c r="V216" s="15">
        <f t="shared" si="88"/>
        <v>2.4361094963153285</v>
      </c>
      <c r="W216" s="15">
        <f t="shared" si="89"/>
        <v>4.8722189926306569</v>
      </c>
      <c r="X216" s="15">
        <f t="shared" si="90"/>
        <v>7.3083284889459854</v>
      </c>
    </row>
    <row r="217" spans="1:24">
      <c r="A217" s="14">
        <f>'b（手動）計算用'!D101</f>
        <v>106</v>
      </c>
      <c r="B217" s="84">
        <f t="shared" si="91"/>
        <v>31.206549936024917</v>
      </c>
      <c r="C217" s="84">
        <f t="shared" si="78"/>
        <v>0</v>
      </c>
      <c r="D217" s="84">
        <f t="shared" si="79"/>
        <v>0</v>
      </c>
      <c r="E217" s="84">
        <f t="shared" si="80"/>
        <v>0</v>
      </c>
      <c r="F217" s="84">
        <f t="shared" si="81"/>
        <v>31.206549936024917</v>
      </c>
      <c r="G217" s="15">
        <f t="shared" si="75"/>
        <v>23.897503580612877</v>
      </c>
      <c r="H217" s="15">
        <f t="shared" si="76"/>
        <v>26.333852365750225</v>
      </c>
      <c r="I217" s="15">
        <f t="shared" si="77"/>
        <v>28.770201150887569</v>
      </c>
      <c r="J217" s="15">
        <f t="shared" si="71"/>
        <v>31.206549936024917</v>
      </c>
      <c r="K217" s="15">
        <f t="shared" si="72"/>
        <v>33.642898721162261</v>
      </c>
      <c r="L217" s="15">
        <f t="shared" si="73"/>
        <v>36.079247506299609</v>
      </c>
      <c r="M217" s="15">
        <f t="shared" si="74"/>
        <v>38.515596291436957</v>
      </c>
      <c r="N217" s="15">
        <f t="shared" si="92"/>
        <v>32.668359207107322</v>
      </c>
      <c r="O217" s="84">
        <f t="shared" si="82"/>
        <v>0</v>
      </c>
      <c r="P217" s="84">
        <f t="shared" si="83"/>
        <v>3.6545231777060203</v>
      </c>
      <c r="Q217" s="84">
        <f t="shared" si="84"/>
        <v>3.6545231777060203</v>
      </c>
      <c r="R217" s="15">
        <f t="shared" si="85"/>
        <v>-7.3090463554120406</v>
      </c>
      <c r="S217" s="15">
        <f t="shared" si="86"/>
        <v>-4.8726975702746937</v>
      </c>
      <c r="T217" s="15">
        <f t="shared" si="87"/>
        <v>-2.4363487851373469</v>
      </c>
      <c r="U217" s="16">
        <v>0</v>
      </c>
      <c r="V217" s="15">
        <f t="shared" si="88"/>
        <v>2.4363487851373469</v>
      </c>
      <c r="W217" s="15">
        <f t="shared" si="89"/>
        <v>4.8726975702746937</v>
      </c>
      <c r="X217" s="15">
        <f t="shared" si="90"/>
        <v>7.3090463554120406</v>
      </c>
    </row>
    <row r="218" spans="1:24">
      <c r="A218" s="14">
        <f>'b（手動）計算用'!D102</f>
        <v>107</v>
      </c>
      <c r="B218" s="84">
        <f t="shared" si="91"/>
        <v>31.262843591236493</v>
      </c>
      <c r="C218" s="84">
        <f t="shared" si="78"/>
        <v>0</v>
      </c>
      <c r="D218" s="84">
        <f t="shared" si="79"/>
        <v>0</v>
      </c>
      <c r="E218" s="84">
        <f t="shared" si="80"/>
        <v>0</v>
      </c>
      <c r="F218" s="84">
        <f t="shared" si="81"/>
        <v>31.262843591236493</v>
      </c>
      <c r="G218" s="15">
        <f t="shared" si="75"/>
        <v>23.95313193932051</v>
      </c>
      <c r="H218" s="15">
        <f t="shared" si="76"/>
        <v>26.38970248995917</v>
      </c>
      <c r="I218" s="15">
        <f t="shared" si="77"/>
        <v>28.826273040597833</v>
      </c>
      <c r="J218" s="15">
        <f t="shared" si="71"/>
        <v>31.262843591236493</v>
      </c>
      <c r="K218" s="15">
        <f t="shared" si="72"/>
        <v>33.699414141875152</v>
      </c>
      <c r="L218" s="15">
        <f t="shared" si="73"/>
        <v>36.135984692513816</v>
      </c>
      <c r="M218" s="15">
        <f t="shared" si="74"/>
        <v>38.572555243152479</v>
      </c>
      <c r="N218" s="15">
        <f t="shared" si="92"/>
        <v>32.724785921619691</v>
      </c>
      <c r="O218" s="84">
        <f t="shared" si="82"/>
        <v>0</v>
      </c>
      <c r="P218" s="84">
        <f t="shared" si="83"/>
        <v>3.6548558259579917</v>
      </c>
      <c r="Q218" s="84">
        <f t="shared" si="84"/>
        <v>3.6548558259579917</v>
      </c>
      <c r="R218" s="15">
        <f t="shared" si="85"/>
        <v>-7.3097116519159835</v>
      </c>
      <c r="S218" s="15">
        <f t="shared" si="86"/>
        <v>-4.873141101277322</v>
      </c>
      <c r="T218" s="15">
        <f t="shared" si="87"/>
        <v>-2.436570550638661</v>
      </c>
      <c r="U218" s="16">
        <v>0</v>
      </c>
      <c r="V218" s="15">
        <f t="shared" si="88"/>
        <v>2.436570550638661</v>
      </c>
      <c r="W218" s="15">
        <f t="shared" si="89"/>
        <v>4.873141101277322</v>
      </c>
      <c r="X218" s="15">
        <f t="shared" si="90"/>
        <v>7.3097116519159835</v>
      </c>
    </row>
    <row r="219" spans="1:24">
      <c r="A219" s="14">
        <f>'b（手動）計算用'!D103</f>
        <v>108</v>
      </c>
      <c r="B219" s="84">
        <f t="shared" si="91"/>
        <v>31.31764885209887</v>
      </c>
      <c r="C219" s="84">
        <f t="shared" si="78"/>
        <v>0</v>
      </c>
      <c r="D219" s="84">
        <f t="shared" si="79"/>
        <v>0</v>
      </c>
      <c r="E219" s="84">
        <f t="shared" si="80"/>
        <v>0</v>
      </c>
      <c r="F219" s="84">
        <f t="shared" si="81"/>
        <v>31.31764885209887</v>
      </c>
      <c r="G219" s="15">
        <f t="shared" si="75"/>
        <v>24.007320632453929</v>
      </c>
      <c r="H219" s="15">
        <f t="shared" si="76"/>
        <v>26.444096705668912</v>
      </c>
      <c r="I219" s="15">
        <f t="shared" si="77"/>
        <v>28.880872778883891</v>
      </c>
      <c r="J219" s="15">
        <f t="shared" si="71"/>
        <v>31.31764885209887</v>
      </c>
      <c r="K219" s="15">
        <f t="shared" si="72"/>
        <v>33.754424925313849</v>
      </c>
      <c r="L219" s="15">
        <f t="shared" si="73"/>
        <v>36.191200998528828</v>
      </c>
      <c r="M219" s="15">
        <f t="shared" si="74"/>
        <v>38.627977071743807</v>
      </c>
      <c r="N219" s="15">
        <f t="shared" si="92"/>
        <v>32.779714496027857</v>
      </c>
      <c r="O219" s="84">
        <f t="shared" si="82"/>
        <v>0</v>
      </c>
      <c r="P219" s="84">
        <f t="shared" si="83"/>
        <v>3.6551641098224699</v>
      </c>
      <c r="Q219" s="84">
        <f t="shared" si="84"/>
        <v>3.6551641098224699</v>
      </c>
      <c r="R219" s="15">
        <f t="shared" si="85"/>
        <v>-7.3103282196449397</v>
      </c>
      <c r="S219" s="15">
        <f t="shared" si="86"/>
        <v>-4.8735521464299598</v>
      </c>
      <c r="T219" s="15">
        <f t="shared" si="87"/>
        <v>-2.4367760732149799</v>
      </c>
      <c r="U219" s="16">
        <v>0</v>
      </c>
      <c r="V219" s="15">
        <f t="shared" si="88"/>
        <v>2.4367760732149799</v>
      </c>
      <c r="W219" s="15">
        <f t="shared" si="89"/>
        <v>4.8735521464299598</v>
      </c>
      <c r="X219" s="15">
        <f t="shared" si="90"/>
        <v>7.3103282196449397</v>
      </c>
    </row>
    <row r="220" spans="1:24">
      <c r="A220" s="14">
        <f>'b（手動）計算用'!D104</f>
        <v>109</v>
      </c>
      <c r="B220" s="84">
        <f t="shared" si="91"/>
        <v>31.37100483968786</v>
      </c>
      <c r="C220" s="84">
        <f t="shared" si="78"/>
        <v>0</v>
      </c>
      <c r="D220" s="84">
        <f t="shared" si="79"/>
        <v>0</v>
      </c>
      <c r="E220" s="84">
        <f t="shared" si="80"/>
        <v>0</v>
      </c>
      <c r="F220" s="84">
        <f t="shared" si="81"/>
        <v>31.37100483968786</v>
      </c>
      <c r="G220" s="15">
        <f t="shared" si="75"/>
        <v>24.060105219361134</v>
      </c>
      <c r="H220" s="15">
        <f t="shared" si="76"/>
        <v>26.497071759470042</v>
      </c>
      <c r="I220" s="15">
        <f t="shared" si="77"/>
        <v>28.934038299578951</v>
      </c>
      <c r="J220" s="15">
        <f t="shared" si="71"/>
        <v>31.37100483968786</v>
      </c>
      <c r="K220" s="15">
        <f t="shared" si="72"/>
        <v>33.807971379796768</v>
      </c>
      <c r="L220" s="15">
        <f t="shared" si="73"/>
        <v>36.244937919905681</v>
      </c>
      <c r="M220" s="15">
        <f t="shared" si="74"/>
        <v>38.681904460014586</v>
      </c>
      <c r="N220" s="15">
        <f t="shared" si="92"/>
        <v>32.833184763753202</v>
      </c>
      <c r="O220" s="84">
        <f t="shared" si="82"/>
        <v>0</v>
      </c>
      <c r="P220" s="84">
        <f t="shared" si="83"/>
        <v>3.6554498101633639</v>
      </c>
      <c r="Q220" s="84">
        <f t="shared" si="84"/>
        <v>3.6554498101633639</v>
      </c>
      <c r="R220" s="15">
        <f t="shared" si="85"/>
        <v>-7.3108996203267278</v>
      </c>
      <c r="S220" s="15">
        <f t="shared" si="86"/>
        <v>-4.8739330802178182</v>
      </c>
      <c r="T220" s="15">
        <f t="shared" si="87"/>
        <v>-2.4369665401089091</v>
      </c>
      <c r="U220" s="16">
        <v>0</v>
      </c>
      <c r="V220" s="15">
        <f t="shared" si="88"/>
        <v>2.4369665401089091</v>
      </c>
      <c r="W220" s="15">
        <f t="shared" si="89"/>
        <v>4.8739330802178182</v>
      </c>
      <c r="X220" s="15">
        <f t="shared" si="90"/>
        <v>7.3108996203267278</v>
      </c>
    </row>
    <row r="221" spans="1:24">
      <c r="A221" s="14">
        <f>'b（手動）計算用'!D105</f>
        <v>110</v>
      </c>
      <c r="B221" s="84">
        <f t="shared" si="91"/>
        <v>31.422949659678519</v>
      </c>
      <c r="C221" s="84">
        <f t="shared" si="78"/>
        <v>0</v>
      </c>
      <c r="D221" s="84">
        <f t="shared" si="79"/>
        <v>0</v>
      </c>
      <c r="E221" s="84">
        <f t="shared" si="80"/>
        <v>0</v>
      </c>
      <c r="F221" s="84">
        <f t="shared" si="81"/>
        <v>31.422949659678519</v>
      </c>
      <c r="G221" s="15">
        <f t="shared" si="75"/>
        <v>24.11152050328802</v>
      </c>
      <c r="H221" s="15">
        <f t="shared" si="76"/>
        <v>26.548663555418184</v>
      </c>
      <c r="I221" s="15">
        <f t="shared" si="77"/>
        <v>28.985806607548351</v>
      </c>
      <c r="J221" s="15">
        <f t="shared" si="71"/>
        <v>31.422949659678519</v>
      </c>
      <c r="K221" s="15">
        <f t="shared" si="72"/>
        <v>33.860092711808683</v>
      </c>
      <c r="L221" s="15">
        <f t="shared" si="73"/>
        <v>36.297235763938851</v>
      </c>
      <c r="M221" s="15">
        <f t="shared" si="74"/>
        <v>38.734378816069018</v>
      </c>
      <c r="N221" s="15">
        <f t="shared" si="92"/>
        <v>32.885235490956617</v>
      </c>
      <c r="O221" s="84">
        <f t="shared" si="82"/>
        <v>0</v>
      </c>
      <c r="P221" s="84">
        <f t="shared" si="83"/>
        <v>3.6557145781952505</v>
      </c>
      <c r="Q221" s="84">
        <f t="shared" si="84"/>
        <v>3.6557145781952505</v>
      </c>
      <c r="R221" s="15">
        <f t="shared" si="85"/>
        <v>-7.3114291563905009</v>
      </c>
      <c r="S221" s="15">
        <f t="shared" si="86"/>
        <v>-4.8742861042603343</v>
      </c>
      <c r="T221" s="15">
        <f t="shared" si="87"/>
        <v>-2.4371430521301671</v>
      </c>
      <c r="U221" s="16">
        <v>0</v>
      </c>
      <c r="V221" s="15">
        <f t="shared" si="88"/>
        <v>2.4371430521301671</v>
      </c>
      <c r="W221" s="15">
        <f t="shared" si="89"/>
        <v>4.8742861042603343</v>
      </c>
      <c r="X221" s="15">
        <f t="shared" si="90"/>
        <v>7.3114291563905009</v>
      </c>
    </row>
    <row r="222" spans="1:24">
      <c r="A222" s="14">
        <f>'b（手動）計算用'!D106</f>
        <v>111</v>
      </c>
      <c r="B222" s="84">
        <f t="shared" si="91"/>
        <v>31.473520427965919</v>
      </c>
      <c r="C222" s="84">
        <f t="shared" si="78"/>
        <v>0</v>
      </c>
      <c r="D222" s="84">
        <f t="shared" si="79"/>
        <v>0</v>
      </c>
      <c r="E222" s="84">
        <f t="shared" si="80"/>
        <v>0</v>
      </c>
      <c r="F222" s="84">
        <f t="shared" si="81"/>
        <v>31.473520427965919</v>
      </c>
      <c r="G222" s="15">
        <f t="shared" si="75"/>
        <v>24.161600538268736</v>
      </c>
      <c r="H222" s="15">
        <f t="shared" si="76"/>
        <v>26.598907168167798</v>
      </c>
      <c r="I222" s="15">
        <f t="shared" si="77"/>
        <v>29.036213798066857</v>
      </c>
      <c r="J222" s="15">
        <f t="shared" si="71"/>
        <v>31.473520427965919</v>
      </c>
      <c r="K222" s="15">
        <f t="shared" si="72"/>
        <v>33.910827057864978</v>
      </c>
      <c r="L222" s="15">
        <f t="shared" si="73"/>
        <v>36.34813368776404</v>
      </c>
      <c r="M222" s="15">
        <f t="shared" si="74"/>
        <v>38.785440317663102</v>
      </c>
      <c r="N222" s="15">
        <f t="shared" si="92"/>
        <v>32.935904405905355</v>
      </c>
      <c r="O222" s="84">
        <f t="shared" si="82"/>
        <v>0</v>
      </c>
      <c r="P222" s="84">
        <f t="shared" si="83"/>
        <v>3.655959944848592</v>
      </c>
      <c r="Q222" s="84">
        <f t="shared" si="84"/>
        <v>3.655959944848592</v>
      </c>
      <c r="R222" s="15">
        <f t="shared" si="85"/>
        <v>-7.311919889697184</v>
      </c>
      <c r="S222" s="15">
        <f t="shared" si="86"/>
        <v>-4.8746132597981227</v>
      </c>
      <c r="T222" s="15">
        <f t="shared" si="87"/>
        <v>-2.4373066298990613</v>
      </c>
      <c r="U222" s="16">
        <v>0</v>
      </c>
      <c r="V222" s="15">
        <f t="shared" si="88"/>
        <v>2.4373066298990613</v>
      </c>
      <c r="W222" s="15">
        <f t="shared" si="89"/>
        <v>4.8746132597981227</v>
      </c>
      <c r="X222" s="15">
        <f t="shared" si="90"/>
        <v>7.311919889697184</v>
      </c>
    </row>
    <row r="223" spans="1:24">
      <c r="A223" s="14">
        <f>'b（手動）計算用'!D107</f>
        <v>112</v>
      </c>
      <c r="B223" s="84">
        <f t="shared" si="91"/>
        <v>31.522753295683174</v>
      </c>
      <c r="C223" s="84">
        <f t="shared" si="78"/>
        <v>0</v>
      </c>
      <c r="D223" s="84">
        <f t="shared" si="79"/>
        <v>0</v>
      </c>
      <c r="E223" s="84">
        <f t="shared" si="80"/>
        <v>0</v>
      </c>
      <c r="F223" s="84">
        <f t="shared" si="81"/>
        <v>31.522753295683174</v>
      </c>
      <c r="G223" s="15">
        <f t="shared" si="75"/>
        <v>24.210378636745418</v>
      </c>
      <c r="H223" s="15">
        <f t="shared" si="76"/>
        <v>26.647836856391336</v>
      </c>
      <c r="I223" s="15">
        <f t="shared" si="77"/>
        <v>29.085295076037255</v>
      </c>
      <c r="J223" s="15">
        <f t="shared" si="71"/>
        <v>31.522753295683174</v>
      </c>
      <c r="K223" s="15">
        <f t="shared" si="72"/>
        <v>33.960211515329092</v>
      </c>
      <c r="L223" s="15">
        <f t="shared" si="73"/>
        <v>36.397669734975011</v>
      </c>
      <c r="M223" s="15">
        <f t="shared" si="74"/>
        <v>38.83512795462093</v>
      </c>
      <c r="N223" s="15">
        <f t="shared" si="92"/>
        <v>32.985228227470728</v>
      </c>
      <c r="O223" s="84">
        <f t="shared" si="82"/>
        <v>0</v>
      </c>
      <c r="P223" s="84">
        <f t="shared" si="83"/>
        <v>3.6561873294688771</v>
      </c>
      <c r="Q223" s="84">
        <f t="shared" si="84"/>
        <v>3.6561873294688771</v>
      </c>
      <c r="R223" s="15">
        <f t="shared" si="85"/>
        <v>-7.3123746589377543</v>
      </c>
      <c r="S223" s="15">
        <f t="shared" si="86"/>
        <v>-4.8749164392918365</v>
      </c>
      <c r="T223" s="15">
        <f t="shared" si="87"/>
        <v>-2.4374582196459182</v>
      </c>
      <c r="U223" s="16">
        <v>0</v>
      </c>
      <c r="V223" s="15">
        <f t="shared" si="88"/>
        <v>2.4374582196459182</v>
      </c>
      <c r="W223" s="15">
        <f t="shared" si="89"/>
        <v>4.8749164392918365</v>
      </c>
      <c r="X223" s="15">
        <f t="shared" si="90"/>
        <v>7.3123746589377543</v>
      </c>
    </row>
    <row r="224" spans="1:24">
      <c r="A224" s="14">
        <f>'b（手動）計算用'!D108</f>
        <v>113</v>
      </c>
      <c r="B224" s="84">
        <f t="shared" si="91"/>
        <v>31.570683473628286</v>
      </c>
      <c r="C224" s="84">
        <f t="shared" si="78"/>
        <v>0</v>
      </c>
      <c r="D224" s="84">
        <f t="shared" si="79"/>
        <v>0</v>
      </c>
      <c r="E224" s="84">
        <f t="shared" si="80"/>
        <v>0</v>
      </c>
      <c r="F224" s="84">
        <f t="shared" si="81"/>
        <v>31.570683473628286</v>
      </c>
      <c r="G224" s="15">
        <f t="shared" si="75"/>
        <v>24.257887377837182</v>
      </c>
      <c r="H224" s="15">
        <f t="shared" si="76"/>
        <v>26.695486076434218</v>
      </c>
      <c r="I224" s="15">
        <f t="shared" si="77"/>
        <v>29.13308477503125</v>
      </c>
      <c r="J224" s="15">
        <f t="shared" si="71"/>
        <v>31.570683473628286</v>
      </c>
      <c r="K224" s="15">
        <f t="shared" si="72"/>
        <v>34.008282172225321</v>
      </c>
      <c r="L224" s="15">
        <f t="shared" si="73"/>
        <v>36.445880870822357</v>
      </c>
      <c r="M224" s="15">
        <f t="shared" si="74"/>
        <v>38.883479569419393</v>
      </c>
      <c r="N224" s="15">
        <f t="shared" si="92"/>
        <v>33.033242692786509</v>
      </c>
      <c r="O224" s="84">
        <f t="shared" si="82"/>
        <v>0</v>
      </c>
      <c r="P224" s="84">
        <f t="shared" si="83"/>
        <v>3.6563980478955518</v>
      </c>
      <c r="Q224" s="84">
        <f t="shared" si="84"/>
        <v>3.6563980478955518</v>
      </c>
      <c r="R224" s="15">
        <f t="shared" si="85"/>
        <v>-7.3127960957911036</v>
      </c>
      <c r="S224" s="15">
        <f t="shared" si="86"/>
        <v>-4.8751973971940687</v>
      </c>
      <c r="T224" s="15">
        <f t="shared" si="87"/>
        <v>-2.4375986985970344</v>
      </c>
      <c r="U224" s="16">
        <v>0</v>
      </c>
      <c r="V224" s="15">
        <f t="shared" si="88"/>
        <v>2.4375986985970344</v>
      </c>
      <c r="W224" s="15">
        <f t="shared" si="89"/>
        <v>4.8751973971940687</v>
      </c>
      <c r="X224" s="15">
        <f t="shared" si="90"/>
        <v>7.3127960957911036</v>
      </c>
    </row>
    <row r="225" spans="1:24">
      <c r="A225" s="14">
        <f>'b（手動）計算用'!D109</f>
        <v>114</v>
      </c>
      <c r="B225" s="84">
        <f t="shared" si="91"/>
        <v>31.617345256111054</v>
      </c>
      <c r="C225" s="84">
        <f t="shared" si="78"/>
        <v>0</v>
      </c>
      <c r="D225" s="84">
        <f t="shared" si="79"/>
        <v>0</v>
      </c>
      <c r="E225" s="84">
        <f t="shared" si="80"/>
        <v>0</v>
      </c>
      <c r="F225" s="84">
        <f t="shared" si="81"/>
        <v>31.617345256111054</v>
      </c>
      <c r="G225" s="15">
        <f t="shared" si="75"/>
        <v>24.304158616183656</v>
      </c>
      <c r="H225" s="15">
        <f t="shared" si="76"/>
        <v>26.741887496159453</v>
      </c>
      <c r="I225" s="15">
        <f t="shared" si="77"/>
        <v>29.179616376135254</v>
      </c>
      <c r="J225" s="15">
        <f t="shared" si="71"/>
        <v>31.617345256111054</v>
      </c>
      <c r="K225" s="15">
        <f t="shared" si="72"/>
        <v>34.055074136086851</v>
      </c>
      <c r="L225" s="15">
        <f t="shared" si="73"/>
        <v>36.492803016062652</v>
      </c>
      <c r="M225" s="15">
        <f t="shared" si="74"/>
        <v>38.930531896038453</v>
      </c>
      <c r="N225" s="15">
        <f t="shared" si="92"/>
        <v>33.079982584096534</v>
      </c>
      <c r="O225" s="84">
        <f t="shared" si="82"/>
        <v>0</v>
      </c>
      <c r="P225" s="84">
        <f t="shared" si="83"/>
        <v>3.6565933199637</v>
      </c>
      <c r="Q225" s="84">
        <f t="shared" si="84"/>
        <v>3.6565933199637</v>
      </c>
      <c r="R225" s="15">
        <f t="shared" si="85"/>
        <v>-7.3131866399273999</v>
      </c>
      <c r="S225" s="15">
        <f t="shared" si="86"/>
        <v>-4.8754577599516002</v>
      </c>
      <c r="T225" s="15">
        <f t="shared" si="87"/>
        <v>-2.4377288799758001</v>
      </c>
      <c r="U225" s="16">
        <v>0</v>
      </c>
      <c r="V225" s="15">
        <f t="shared" si="88"/>
        <v>2.4377288799758001</v>
      </c>
      <c r="W225" s="15">
        <f t="shared" si="89"/>
        <v>4.8754577599516002</v>
      </c>
      <c r="X225" s="15">
        <f t="shared" si="90"/>
        <v>7.3131866399273999</v>
      </c>
    </row>
    <row r="226" spans="1:24">
      <c r="A226" s="14">
        <f>'b（手動）計算用'!D110</f>
        <v>115</v>
      </c>
      <c r="B226" s="84">
        <f t="shared" si="91"/>
        <v>31.66277204423135</v>
      </c>
      <c r="C226" s="84">
        <f t="shared" si="78"/>
        <v>0</v>
      </c>
      <c r="D226" s="84">
        <f t="shared" si="79"/>
        <v>0</v>
      </c>
      <c r="E226" s="84">
        <f t="shared" si="80"/>
        <v>0</v>
      </c>
      <c r="F226" s="84">
        <f t="shared" si="81"/>
        <v>31.66277204423135</v>
      </c>
      <c r="G226" s="15">
        <f t="shared" si="75"/>
        <v>24.349223491294111</v>
      </c>
      <c r="H226" s="15">
        <f t="shared" si="76"/>
        <v>26.787073008939856</v>
      </c>
      <c r="I226" s="15">
        <f t="shared" si="77"/>
        <v>29.224922526585601</v>
      </c>
      <c r="J226" s="15">
        <f t="shared" si="71"/>
        <v>31.66277204423135</v>
      </c>
      <c r="K226" s="15">
        <f t="shared" si="72"/>
        <v>34.100621561877098</v>
      </c>
      <c r="L226" s="15">
        <f t="shared" si="73"/>
        <v>36.538471079522843</v>
      </c>
      <c r="M226" s="15">
        <f t="shared" si="74"/>
        <v>38.976320597168588</v>
      </c>
      <c r="N226" s="15">
        <f t="shared" si="92"/>
        <v>33.1254817548188</v>
      </c>
      <c r="O226" s="84">
        <f t="shared" si="82"/>
        <v>0</v>
      </c>
      <c r="P226" s="84">
        <f t="shared" si="83"/>
        <v>3.65677427646862</v>
      </c>
      <c r="Q226" s="84">
        <f t="shared" si="84"/>
        <v>3.65677427646862</v>
      </c>
      <c r="R226" s="15">
        <f t="shared" si="85"/>
        <v>-7.3135485529372399</v>
      </c>
      <c r="S226" s="15">
        <f t="shared" si="86"/>
        <v>-4.8756990352914933</v>
      </c>
      <c r="T226" s="15">
        <f t="shared" si="87"/>
        <v>-2.4378495176457466</v>
      </c>
      <c r="U226" s="16">
        <v>0</v>
      </c>
      <c r="V226" s="15">
        <f t="shared" si="88"/>
        <v>2.4378495176457466</v>
      </c>
      <c r="W226" s="15">
        <f t="shared" si="89"/>
        <v>4.8756990352914933</v>
      </c>
      <c r="X226" s="15">
        <f t="shared" si="90"/>
        <v>7.3135485529372399</v>
      </c>
    </row>
    <row r="227" spans="1:24">
      <c r="A227" s="14">
        <f>'b（手動）計算用'!D111</f>
        <v>116</v>
      </c>
      <c r="B227" s="84">
        <f t="shared" si="91"/>
        <v>31.706996368600176</v>
      </c>
      <c r="C227" s="84">
        <f t="shared" si="78"/>
        <v>0</v>
      </c>
      <c r="D227" s="84">
        <f t="shared" si="79"/>
        <v>0</v>
      </c>
      <c r="E227" s="84">
        <f t="shared" si="80"/>
        <v>0</v>
      </c>
      <c r="F227" s="84">
        <f t="shared" si="81"/>
        <v>31.706996368600176</v>
      </c>
      <c r="G227" s="15">
        <f t="shared" si="75"/>
        <v>24.393112437338523</v>
      </c>
      <c r="H227" s="15">
        <f t="shared" si="76"/>
        <v>26.831073747759074</v>
      </c>
      <c r="I227" s="15">
        <f t="shared" si="77"/>
        <v>29.269035058179625</v>
      </c>
      <c r="J227" s="15">
        <f t="shared" si="71"/>
        <v>31.706996368600176</v>
      </c>
      <c r="K227" s="15">
        <f t="shared" si="72"/>
        <v>34.144957679020727</v>
      </c>
      <c r="L227" s="15">
        <f t="shared" si="73"/>
        <v>36.582918989441275</v>
      </c>
      <c r="M227" s="15">
        <f t="shared" si="74"/>
        <v>39.02088029986183</v>
      </c>
      <c r="N227" s="15">
        <f t="shared" si="92"/>
        <v>33.169773154852507</v>
      </c>
      <c r="O227" s="84">
        <f t="shared" si="82"/>
        <v>0</v>
      </c>
      <c r="P227" s="84">
        <f t="shared" si="83"/>
        <v>3.6569419656308262</v>
      </c>
      <c r="Q227" s="84">
        <f t="shared" si="84"/>
        <v>3.6569419656308262</v>
      </c>
      <c r="R227" s="15">
        <f t="shared" si="85"/>
        <v>-7.3138839312616524</v>
      </c>
      <c r="S227" s="15">
        <f t="shared" si="86"/>
        <v>-4.8759226208411013</v>
      </c>
      <c r="T227" s="15">
        <f t="shared" si="87"/>
        <v>-2.4379613104205506</v>
      </c>
      <c r="U227" s="16">
        <v>0</v>
      </c>
      <c r="V227" s="15">
        <f t="shared" si="88"/>
        <v>2.4379613104205506</v>
      </c>
      <c r="W227" s="15">
        <f t="shared" si="89"/>
        <v>4.8759226208411013</v>
      </c>
      <c r="X227" s="15">
        <f t="shared" si="90"/>
        <v>7.3138839312616524</v>
      </c>
    </row>
    <row r="228" spans="1:24">
      <c r="A228" s="14">
        <f>'b（手動）計算用'!D112</f>
        <v>117</v>
      </c>
      <c r="B228" s="84">
        <f t="shared" si="91"/>
        <v>31.750049911514541</v>
      </c>
      <c r="C228" s="84">
        <f t="shared" si="78"/>
        <v>0</v>
      </c>
      <c r="D228" s="84">
        <f t="shared" si="79"/>
        <v>0</v>
      </c>
      <c r="E228" s="84">
        <f t="shared" si="80"/>
        <v>0</v>
      </c>
      <c r="F228" s="84">
        <f t="shared" si="81"/>
        <v>31.750049911514541</v>
      </c>
      <c r="G228" s="15">
        <f t="shared" si="75"/>
        <v>24.435855193321558</v>
      </c>
      <c r="H228" s="15">
        <f t="shared" si="76"/>
        <v>26.873920099385884</v>
      </c>
      <c r="I228" s="15">
        <f t="shared" si="77"/>
        <v>29.311985005450211</v>
      </c>
      <c r="J228" s="15">
        <f t="shared" si="71"/>
        <v>31.750049911514541</v>
      </c>
      <c r="K228" s="15">
        <f t="shared" si="72"/>
        <v>34.188114817578871</v>
      </c>
      <c r="L228" s="15">
        <f t="shared" si="73"/>
        <v>36.626179723643197</v>
      </c>
      <c r="M228" s="15">
        <f t="shared" si="74"/>
        <v>39.064244629707524</v>
      </c>
      <c r="N228" s="15">
        <f t="shared" si="92"/>
        <v>33.212888855153139</v>
      </c>
      <c r="O228" s="84">
        <f t="shared" si="82"/>
        <v>0</v>
      </c>
      <c r="P228" s="84">
        <f t="shared" si="83"/>
        <v>3.6570973590964924</v>
      </c>
      <c r="Q228" s="84">
        <f t="shared" si="84"/>
        <v>3.6570973590964924</v>
      </c>
      <c r="R228" s="15">
        <f t="shared" si="85"/>
        <v>-7.3141947181929847</v>
      </c>
      <c r="S228" s="15">
        <f t="shared" si="86"/>
        <v>-4.8761298121286565</v>
      </c>
      <c r="T228" s="15">
        <f t="shared" si="87"/>
        <v>-2.4380649060643282</v>
      </c>
      <c r="U228" s="16">
        <v>0</v>
      </c>
      <c r="V228" s="15">
        <f t="shared" si="88"/>
        <v>2.4380649060643282</v>
      </c>
      <c r="W228" s="15">
        <f t="shared" si="89"/>
        <v>4.8761298121286565</v>
      </c>
      <c r="X228" s="15">
        <f t="shared" si="90"/>
        <v>7.3141947181929847</v>
      </c>
    </row>
    <row r="229" spans="1:24">
      <c r="A229" s="14">
        <f>'b（手動）計算用'!D113</f>
        <v>118</v>
      </c>
      <c r="B229" s="84">
        <f t="shared" si="91"/>
        <v>31.791963528597442</v>
      </c>
      <c r="C229" s="84">
        <f t="shared" si="78"/>
        <v>0</v>
      </c>
      <c r="D229" s="84">
        <f t="shared" si="79"/>
        <v>0</v>
      </c>
      <c r="E229" s="84">
        <f t="shared" si="80"/>
        <v>0</v>
      </c>
      <c r="F229" s="84">
        <f t="shared" si="81"/>
        <v>31.791963528597442</v>
      </c>
      <c r="G229" s="15">
        <f t="shared" si="75"/>
        <v>24.47748081358537</v>
      </c>
      <c r="H229" s="15">
        <f t="shared" si="76"/>
        <v>26.915641718589395</v>
      </c>
      <c r="I229" s="15">
        <f t="shared" si="77"/>
        <v>29.353802623593417</v>
      </c>
      <c r="J229" s="15">
        <f t="shared" si="71"/>
        <v>31.791963528597442</v>
      </c>
      <c r="K229" s="15">
        <f t="shared" si="72"/>
        <v>34.230124433601468</v>
      </c>
      <c r="L229" s="15">
        <f t="shared" si="73"/>
        <v>36.668285338605493</v>
      </c>
      <c r="M229" s="15">
        <f t="shared" si="74"/>
        <v>39.106446243609511</v>
      </c>
      <c r="N229" s="15">
        <f t="shared" si="92"/>
        <v>33.254860071599857</v>
      </c>
      <c r="O229" s="84">
        <f t="shared" si="82"/>
        <v>0</v>
      </c>
      <c r="P229" s="84">
        <f t="shared" si="83"/>
        <v>3.6572413575060363</v>
      </c>
      <c r="Q229" s="84">
        <f t="shared" si="84"/>
        <v>3.6572413575060363</v>
      </c>
      <c r="R229" s="15">
        <f t="shared" si="85"/>
        <v>-7.3144827150120726</v>
      </c>
      <c r="S229" s="15">
        <f t="shared" si="86"/>
        <v>-4.8763218100080481</v>
      </c>
      <c r="T229" s="15">
        <f t="shared" si="87"/>
        <v>-2.438160905004024</v>
      </c>
      <c r="U229" s="16">
        <v>0</v>
      </c>
      <c r="V229" s="15">
        <f t="shared" si="88"/>
        <v>2.438160905004024</v>
      </c>
      <c r="W229" s="15">
        <f t="shared" si="89"/>
        <v>4.8763218100080481</v>
      </c>
      <c r="X229" s="15">
        <f t="shared" si="90"/>
        <v>7.3144827150120726</v>
      </c>
    </row>
    <row r="230" spans="1:24">
      <c r="A230" s="14">
        <f>'b（手動）計算用'!D114</f>
        <v>119</v>
      </c>
      <c r="B230" s="84">
        <f t="shared" si="91"/>
        <v>31.832767269913923</v>
      </c>
      <c r="C230" s="84">
        <f t="shared" si="78"/>
        <v>0</v>
      </c>
      <c r="D230" s="84">
        <f t="shared" si="79"/>
        <v>0</v>
      </c>
      <c r="E230" s="84">
        <f t="shared" si="80"/>
        <v>0</v>
      </c>
      <c r="F230" s="84">
        <f t="shared" si="81"/>
        <v>31.832767269913923</v>
      </c>
      <c r="G230" s="15">
        <f t="shared" si="75"/>
        <v>24.518017678591256</v>
      </c>
      <c r="H230" s="15">
        <f t="shared" si="76"/>
        <v>26.956267542365477</v>
      </c>
      <c r="I230" s="15">
        <f t="shared" si="77"/>
        <v>29.394517406139698</v>
      </c>
      <c r="J230" s="15">
        <f t="shared" si="71"/>
        <v>31.832767269913923</v>
      </c>
      <c r="K230" s="15">
        <f t="shared" si="72"/>
        <v>34.271017133688147</v>
      </c>
      <c r="L230" s="15">
        <f t="shared" si="73"/>
        <v>36.709266997462365</v>
      </c>
      <c r="M230" s="15">
        <f t="shared" si="74"/>
        <v>39.147516861236589</v>
      </c>
      <c r="N230" s="15">
        <f t="shared" si="92"/>
        <v>33.295717188178457</v>
      </c>
      <c r="O230" s="84">
        <f t="shared" si="82"/>
        <v>0</v>
      </c>
      <c r="P230" s="84">
        <f t="shared" si="83"/>
        <v>3.6573747956613341</v>
      </c>
      <c r="Q230" s="84">
        <f t="shared" si="84"/>
        <v>3.6573747956613341</v>
      </c>
      <c r="R230" s="15">
        <f t="shared" si="85"/>
        <v>-7.3147495913226681</v>
      </c>
      <c r="S230" s="15">
        <f t="shared" si="86"/>
        <v>-4.8764997275484454</v>
      </c>
      <c r="T230" s="15">
        <f t="shared" si="87"/>
        <v>-2.4382498637742227</v>
      </c>
      <c r="U230" s="16">
        <v>0</v>
      </c>
      <c r="V230" s="15">
        <f t="shared" si="88"/>
        <v>2.4382498637742227</v>
      </c>
      <c r="W230" s="15">
        <f t="shared" si="89"/>
        <v>4.8764997275484454</v>
      </c>
      <c r="X230" s="15">
        <f t="shared" si="90"/>
        <v>7.3147495913226681</v>
      </c>
    </row>
    <row r="231" spans="1:24">
      <c r="A231" s="14">
        <f>'b（手動）計算用'!D115</f>
        <v>120</v>
      </c>
      <c r="B231" s="84">
        <f t="shared" si="91"/>
        <v>31.872490400574215</v>
      </c>
      <c r="C231" s="84">
        <f t="shared" si="78"/>
        <v>0</v>
      </c>
      <c r="D231" s="84">
        <f t="shared" si="79"/>
        <v>0</v>
      </c>
      <c r="E231" s="84">
        <f t="shared" si="80"/>
        <v>0</v>
      </c>
      <c r="F231" s="84">
        <f t="shared" si="81"/>
        <v>31.872490400574215</v>
      </c>
      <c r="G231" s="15">
        <f t="shared" si="75"/>
        <v>24.55749350593425</v>
      </c>
      <c r="H231" s="15">
        <f t="shared" si="76"/>
        <v>26.995825804147572</v>
      </c>
      <c r="I231" s="15">
        <f t="shared" si="77"/>
        <v>29.434158102360893</v>
      </c>
      <c r="J231" s="15">
        <f t="shared" si="71"/>
        <v>31.872490400574215</v>
      </c>
      <c r="K231" s="15">
        <f t="shared" si="72"/>
        <v>34.31082269878754</v>
      </c>
      <c r="L231" s="15">
        <f t="shared" si="73"/>
        <v>36.749154997000858</v>
      </c>
      <c r="M231" s="15">
        <f t="shared" si="74"/>
        <v>39.187487295214183</v>
      </c>
      <c r="N231" s="15">
        <f t="shared" si="92"/>
        <v>33.335489779502211</v>
      </c>
      <c r="O231" s="84">
        <f t="shared" si="82"/>
        <v>0</v>
      </c>
      <c r="P231" s="84">
        <f t="shared" si="83"/>
        <v>3.6574984473199827</v>
      </c>
      <c r="Q231" s="84">
        <f t="shared" si="84"/>
        <v>3.6574984473199827</v>
      </c>
      <c r="R231" s="15">
        <f t="shared" si="85"/>
        <v>-7.3149968946399655</v>
      </c>
      <c r="S231" s="15">
        <f>-$Q231*4/3</f>
        <v>-4.876664596426644</v>
      </c>
      <c r="T231" s="15">
        <f t="shared" si="87"/>
        <v>-2.438332298213322</v>
      </c>
      <c r="U231" s="16">
        <v>0</v>
      </c>
      <c r="V231" s="15">
        <f t="shared" si="88"/>
        <v>2.438332298213322</v>
      </c>
      <c r="W231" s="15">
        <f t="shared" si="89"/>
        <v>4.876664596426644</v>
      </c>
      <c r="X231" s="15">
        <f t="shared" si="90"/>
        <v>7.3149968946399655</v>
      </c>
    </row>
  </sheetData>
  <mergeCells count="1">
    <mergeCell ref="R1:X1"/>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説明書</vt:lpstr>
      <vt:lpstr>入力</vt:lpstr>
      <vt:lpstr>結果（a 収量比数）</vt:lpstr>
      <vt:lpstr>詳細（a 収量比数）</vt:lpstr>
      <vt:lpstr>結果（b 間伐施業)</vt:lpstr>
      <vt:lpstr>詳細（b 間伐施業）</vt:lpstr>
      <vt:lpstr>a（自動）計算用</vt:lpstr>
      <vt:lpstr>b（手動）計算用</vt:lpstr>
      <vt:lpstr>樹高計算 </vt:lpstr>
      <vt:lpstr>密度計算</vt:lpstr>
      <vt:lpstr>直径材積計算</vt:lpstr>
      <vt:lpstr>'結果（a 収量比数）'!Print_Area</vt:lpstr>
      <vt:lpstr>'結果（b 間伐施業)'!Print_Area</vt:lpstr>
      <vt:lpstr>'詳細（a 収量比数）'!Print_Area</vt:lpstr>
      <vt:lpstr>'詳細（b 間伐施業）'!Print_Area</vt:lpstr>
      <vt:lpstr>説明書!Print_Area</vt:lpstr>
      <vt:lpstr>入力!Print_Area</vt:lpstr>
      <vt:lpstr>'結果（a 収量比数）'!Print_Titles</vt:lpstr>
      <vt:lpstr>'結果（b 間伐施業)'!Print_Titles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2019-04-22T09:22:15Z</cp:lastPrinted>
  <dcterms:created xsi:type="dcterms:W3CDTF">2018-12-18T01:52:36Z</dcterms:created>
  <dcterms:modified xsi:type="dcterms:W3CDTF">2019-04-23T10:12:39Z</dcterms:modified>
</cp:coreProperties>
</file>